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65521" yWindow="15" windowWidth="11970" windowHeight="2595" activeTab="4"/>
  </bookViews>
  <sheets>
    <sheet name="Início" sheetId="1" r:id="rId1"/>
    <sheet name="Ajuda PN" sheetId="2" r:id="rId2"/>
    <sheet name="Preenchimento Preliminar" sheetId="3" state="hidden" r:id="rId3"/>
    <sheet name="Apresentação" sheetId="4" r:id="rId4"/>
    <sheet name="Mercado Consumidor" sheetId="5" r:id="rId5"/>
    <sheet name="Mercado Fornecedor " sheetId="6" r:id="rId6"/>
    <sheet name="Mercado Concorrente" sheetId="7" r:id="rId7"/>
    <sheet name="Receita Operacional Proj." sheetId="8" state="hidden" r:id="rId8"/>
    <sheet name="Custo Proj" sheetId="9" state="hidden" r:id="rId9"/>
    <sheet name="Previsão de Vendas e Custos" sheetId="10" r:id="rId10"/>
    <sheet name="Prazos Médios" sheetId="11" r:id="rId11"/>
    <sheet name="Investimento Fixo" sheetId="12" r:id="rId12"/>
    <sheet name="Mão-de-Obra" sheetId="13" r:id="rId13"/>
    <sheet name="Custos Fixos Operacionais" sheetId="14" r:id="rId14"/>
    <sheet name="Custos Variáveis" sheetId="15" r:id="rId15"/>
    <sheet name="Orçamento Receitas e Despesas" sheetId="16" r:id="rId16"/>
    <sheet name="Previsão anual" sheetId="17" r:id="rId17"/>
    <sheet name="Avaliação Econômico-Financeira" sheetId="18" r:id="rId18"/>
    <sheet name="Ponto de Equilíbrio" sheetId="19" r:id="rId19"/>
    <sheet name="Gráfico PE" sheetId="20" r:id="rId20"/>
    <sheet name="Análise de Sensibilidade" sheetId="21" r:id="rId21"/>
  </sheets>
  <externalReferences>
    <externalReference r:id="rId24"/>
  </externalReferences>
  <definedNames>
    <definedName name="\i">#REF!</definedName>
    <definedName name="\p">#REF!</definedName>
    <definedName name="a">'Início'!#REF!</definedName>
    <definedName name="_xlnm.Print_Area" localSheetId="1">'Ajuda PN'!$A:$K</definedName>
    <definedName name="_xlnm.Print_Area" localSheetId="17">'Avaliação Econômico-Financeira'!$A:$IV</definedName>
    <definedName name="_xlnm.Print_Area" localSheetId="13">'Custos Fixos Operacionais'!$A$1:$K$79</definedName>
    <definedName name="_xlnm.Print_Area" localSheetId="14">'Custos Variáveis'!$A$1:$G$68</definedName>
    <definedName name="_xlnm.Print_Area" localSheetId="11">'Investimento Fixo'!$A$1:$E$49</definedName>
    <definedName name="_xlnm.Print_Area" localSheetId="12">'Mão-de-Obra'!$A$1:$G$38</definedName>
    <definedName name="_xlnm.Print_Area" localSheetId="6">'Mercado Concorrente'!$A$1:$J$50</definedName>
    <definedName name="_xlnm.Print_Area" localSheetId="4">'Mercado Consumidor'!$A$1:$J$49</definedName>
    <definedName name="_xlnm.Print_Area" localSheetId="5">'Mercado Fornecedor '!$A$1:$J$50</definedName>
    <definedName name="_xlnm.Print_Area" localSheetId="10">'Prazos Médios'!$A$1:$E$48</definedName>
    <definedName name="_xlnm.Print_Area" localSheetId="9">'Previsão de Vendas e Custos'!$A$1:$H$44</definedName>
    <definedName name="BLMSG1">#REF!</definedName>
    <definedName name="BLOCO1">'Apresentação'!$D$1:$D$7</definedName>
    <definedName name="BLOCO10">'Custos Fixos Operacionais'!$A$26:$A$53</definedName>
    <definedName name="BLOCO11">'Receita Operacional Proj.'!$A$1:$F$6</definedName>
    <definedName name="BLOCO12">'Custo Proj'!$A$1:$E$2</definedName>
    <definedName name="BLOCO13">'Custos Fixos Operacionais'!$A$26:$A$53</definedName>
    <definedName name="BLOCO14">#REF!</definedName>
    <definedName name="BLOCO15">'Orçamento Receitas e Despesas'!$A$1:$A$24</definedName>
    <definedName name="BLOCO16">#REF!</definedName>
    <definedName name="BLOCO17">#REF!</definedName>
    <definedName name="BLOCO18">#REF!</definedName>
    <definedName name="BLOCO19">'Ponto de Equilíbrio'!$B$1:$H$29</definedName>
    <definedName name="BLOCO5">'Previsão de Vendas e Custos'!$C$1:$H$41</definedName>
    <definedName name="BLOCO6">'Prazos Médios'!$C$25:$E$46</definedName>
    <definedName name="BLOCO7">'Mão-de-Obra'!$C$21:$H$38</definedName>
    <definedName name="BLOCO8">'Investimento Fixo'!$C$23:$D$45</definedName>
    <definedName name="BLOCO92">#REF!</definedName>
    <definedName name="BLOCO95">#REF!</definedName>
    <definedName name="blocoa">'Apresentação'!$D$1:$D$7</definedName>
    <definedName name="blocog">'Previsão de Vendas e Custos'!$C$1:$H$41</definedName>
    <definedName name="blocow">'Mão-de-Obra'!$C$21:$H$38</definedName>
    <definedName name="cidade">'Início'!#REF!</definedName>
    <definedName name="cliente">'Apresentação'!$A$28:$A$28</definedName>
    <definedName name="CÓDIGO">'Início'!#REF!</definedName>
    <definedName name="fantasia">'Início'!$A$14:$A$14</definedName>
    <definedName name="gdf">'[1]Investimento Fixo'!$A$3:$C$25</definedName>
    <definedName name="MSG1">#REF!</definedName>
    <definedName name="MSG2">#REF!</definedName>
    <definedName name="TECLA">#REF!</definedName>
    <definedName name="XX">'Preenchimento Preliminar'!$I:$DH</definedName>
    <definedName name="Z_15BA1CA5_A5B1_11D4_A362_00A024CCE9E5_.wvu.Cols" localSheetId="20" hidden="1">'Análise de Sensibilidade'!$K:$IV</definedName>
    <definedName name="Z_15BA1CA5_A5B1_11D4_A362_00A024CCE9E5_.wvu.Cols" localSheetId="3" hidden="1">'Apresentação'!$J:$IV</definedName>
    <definedName name="Z_15BA1CA5_A5B1_11D4_A362_00A024CCE9E5_.wvu.Cols" localSheetId="17" hidden="1">'Avaliação Econômico-Financeira'!$F:$IV</definedName>
    <definedName name="Z_15BA1CA5_A5B1_11D4_A362_00A024CCE9E5_.wvu.Cols" localSheetId="13" hidden="1">'Custos Fixos Operacionais'!$E:$IV</definedName>
    <definedName name="Z_15BA1CA5_A5B1_11D4_A362_00A024CCE9E5_.wvu.Cols" localSheetId="14" hidden="1">'Custos Variáveis'!#REF!</definedName>
    <definedName name="Z_15BA1CA5_A5B1_11D4_A362_00A024CCE9E5_.wvu.Cols" localSheetId="0" hidden="1">'Início'!$G:$IV</definedName>
    <definedName name="Z_15BA1CA5_A5B1_11D4_A362_00A024CCE9E5_.wvu.Cols" localSheetId="12" hidden="1">'Mão-de-Obra'!$I:$IV</definedName>
    <definedName name="Z_15BA1CA5_A5B1_11D4_A362_00A024CCE9E5_.wvu.Cols" localSheetId="15" hidden="1">'Orçamento Receitas e Despesas'!$G:$IV</definedName>
    <definedName name="Z_15BA1CA5_A5B1_11D4_A362_00A024CCE9E5_.wvu.Cols" localSheetId="18" hidden="1">'Ponto de Equilíbrio'!$J:$IV</definedName>
    <definedName name="Z_15BA1CA5_A5B1_11D4_A362_00A024CCE9E5_.wvu.Cols" localSheetId="10" hidden="1">'Prazos Médios'!$F:$IV</definedName>
    <definedName name="Z_15BA1CA5_A5B1_11D4_A362_00A024CCE9E5_.wvu.PrintArea" localSheetId="17" hidden="1">'Avaliação Econômico-Financeira'!$A:$XFD</definedName>
    <definedName name="Z_15BA1CA5_A5B1_11D4_A362_00A024CCE9E5_.wvu.PrintArea" localSheetId="13" hidden="1">'Custos Fixos Operacionais'!$A$25:$D$53</definedName>
    <definedName name="Z_15BA1CA5_A5B1_11D4_A362_00A024CCE9E5_.wvu.PrintArea" localSheetId="14" hidden="1">'Custos Variáveis'!$C$31:$G$68</definedName>
    <definedName name="Z_15BA1CA5_A5B1_11D4_A362_00A024CCE9E5_.wvu.PrintArea" localSheetId="12" hidden="1">'Mão-de-Obra'!$C$21:$G$38</definedName>
    <definedName name="Z_15BA1CA5_A5B1_11D4_A362_00A024CCE9E5_.wvu.PrintArea" localSheetId="10" hidden="1">'Prazos Médios'!$C$25:$E$48</definedName>
    <definedName name="Z_15BA1CA5_A5B1_11D4_A362_00A024CCE9E5_.wvu.Rows" localSheetId="20" hidden="1">'Análise de Sensibilidade'!$45:$65536,'Análise de Sensibilidade'!$16:$44</definedName>
    <definedName name="Z_15BA1CA5_A5B1_11D4_A362_00A024CCE9E5_.wvu.Rows" localSheetId="3" hidden="1">'Apresentação'!$46:$65536,'Apresentação'!$32:$45</definedName>
    <definedName name="Z_15BA1CA5_A5B1_11D4_A362_00A024CCE9E5_.wvu.Rows" localSheetId="17" hidden="1">'Avaliação Econômico-Financeira'!$30:$65536</definedName>
    <definedName name="Z_15BA1CA5_A5B1_11D4_A362_00A024CCE9E5_.wvu.Rows" localSheetId="13" hidden="1">'Custos Fixos Operacionais'!$56:$65536</definedName>
    <definedName name="Z_15BA1CA5_A5B1_11D4_A362_00A024CCE9E5_.wvu.Rows" localSheetId="14" hidden="1">'Custos Variáveis'!#REF!,'Custos Variáveis'!#REF!</definedName>
    <definedName name="Z_15BA1CA5_A5B1_11D4_A362_00A024CCE9E5_.wvu.Rows" localSheetId="0" hidden="1">'Início'!$19:$65536</definedName>
    <definedName name="Z_15BA1CA5_A5B1_11D4_A362_00A024CCE9E5_.wvu.Rows" localSheetId="12" hidden="1">'Mão-de-Obra'!$41:$65536,'Mão-de-Obra'!$39:$40</definedName>
    <definedName name="Z_15BA1CA5_A5B1_11D4_A362_00A024CCE9E5_.wvu.Rows" localSheetId="15" hidden="1">'Orçamento Receitas e Despesas'!$50:$65536</definedName>
    <definedName name="Z_15BA1CA5_A5B1_11D4_A362_00A024CCE9E5_.wvu.Rows" localSheetId="18" hidden="1">'Ponto de Equilíbrio'!$41:$65536,'Ponto de Equilíbrio'!$32:$40</definedName>
    <definedName name="Z_15BA1CA5_A5B1_11D4_A362_00A024CCE9E5_.wvu.Rows" localSheetId="10" hidden="1">'Prazos Médios'!$49:$65536,'Prazos Médios'!$30:$30,'Prazos Médios'!#REF!,'Prazos Médios'!$38:$38,'Prazos Médios'!$48:$48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SEBRAE/PR:</t>
        </r>
        <r>
          <rPr>
            <sz val="8"/>
            <rFont val="Tahoma"/>
            <family val="0"/>
          </rPr>
          <t xml:space="preserve">
Permite variações de faturamento durante o ano.</t>
        </r>
      </text>
    </comment>
  </commentList>
</comments>
</file>

<file path=xl/comments10.xml><?xml version="1.0" encoding="utf-8"?>
<comments xmlns="http://schemas.openxmlformats.org/spreadsheetml/2006/main">
  <authors>
    <author>SEBRAE</author>
    <author>argocd</author>
  </authors>
  <commentList>
    <comment ref="F22" authorId="0">
      <text>
        <r>
          <rPr>
            <b/>
            <sz val="10"/>
            <rFont val="Tahoma"/>
            <family val="0"/>
          </rPr>
          <t>SEBRAE:</t>
        </r>
        <r>
          <rPr>
            <sz val="10"/>
            <rFont val="Tahoma"/>
            <family val="0"/>
          </rPr>
          <t xml:space="preserve">
Informe o preço de venda unitário.</t>
        </r>
      </text>
    </comment>
    <comment ref="D22" authorId="0">
      <text>
        <r>
          <rPr>
            <b/>
            <sz val="10"/>
            <rFont val="Tahoma"/>
            <family val="0"/>
          </rPr>
          <t>SEBRAE:</t>
        </r>
        <r>
          <rPr>
            <sz val="10"/>
            <rFont val="Tahoma"/>
            <family val="0"/>
          </rPr>
          <t xml:space="preserve">
Informe a quantidade prevista</t>
        </r>
      </text>
    </comment>
    <comment ref="A1" authorId="1">
      <text>
        <r>
          <rPr>
            <b/>
            <sz val="10"/>
            <rFont val="Tahoma"/>
            <family val="0"/>
          </rPr>
          <t>SEBRAE:</t>
        </r>
        <r>
          <rPr>
            <sz val="10"/>
            <rFont val="Tahoma"/>
            <family val="0"/>
          </rPr>
          <t xml:space="preserve">
Informe o preço de venda unitário.</t>
        </r>
      </text>
    </comment>
  </commentList>
</comments>
</file>

<file path=xl/comments15.xml><?xml version="1.0" encoding="utf-8"?>
<comments xmlns="http://schemas.openxmlformats.org/spreadsheetml/2006/main">
  <authors>
    <author>SEBRAE</author>
  </authors>
  <commentList>
    <comment ref="F65" authorId="0">
      <text>
        <r>
          <rPr>
            <b/>
            <sz val="14"/>
            <rFont val="Tahoma"/>
            <family val="0"/>
          </rPr>
          <t>SEBRAE:</t>
        </r>
        <r>
          <rPr>
            <sz val="14"/>
            <rFont val="Tahoma"/>
            <family val="0"/>
          </rPr>
          <t xml:space="preserve">
Em %</t>
        </r>
      </text>
    </comment>
    <comment ref="F66" authorId="0">
      <text>
        <r>
          <rPr>
            <b/>
            <sz val="14"/>
            <rFont val="Tahoma"/>
            <family val="0"/>
          </rPr>
          <t>SEBRAE:</t>
        </r>
        <r>
          <rPr>
            <sz val="14"/>
            <rFont val="Tahoma"/>
            <family val="0"/>
          </rPr>
          <t xml:space="preserve">
Em %</t>
        </r>
      </text>
    </comment>
  </commentList>
</comments>
</file>

<file path=xl/comments17.xml><?xml version="1.0" encoding="utf-8"?>
<comments xmlns="http://schemas.openxmlformats.org/spreadsheetml/2006/main">
  <authors>
    <author>SEBRAE/PR</author>
  </authors>
  <commentList>
    <comment ref="A2" authorId="0">
      <text>
        <r>
          <rPr>
            <b/>
            <sz val="8"/>
            <rFont val="Tahoma"/>
            <family val="0"/>
          </rPr>
          <t>Sebrae/PR: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Coloque os índices de aumento (Ex.: 10, que corresponde a 10% de aumento no faturamento) </t>
        </r>
        <r>
          <rPr>
            <b/>
            <sz val="8"/>
            <color indexed="10"/>
            <rFont val="Tahoma"/>
            <family val="2"/>
          </rPr>
          <t>ou de redução(colocando o sinal de menos a frente.Ex.: -10, que corresponde a uma redução de 10%)</t>
        </r>
        <r>
          <rPr>
            <b/>
            <sz val="8"/>
            <color indexed="12"/>
            <rFont val="Tahoma"/>
            <family val="2"/>
          </rPr>
          <t>.</t>
        </r>
      </text>
    </comment>
  </commentList>
</comments>
</file>

<file path=xl/comments19.xml><?xml version="1.0" encoding="utf-8"?>
<comments xmlns="http://schemas.openxmlformats.org/spreadsheetml/2006/main">
  <authors>
    <author>SEBRAE/PR</author>
  </authors>
  <commentList>
    <comment ref="G8" authorId="0">
      <text>
        <r>
          <rPr>
            <b/>
            <sz val="8"/>
            <rFont val="Tahoma"/>
            <family val="0"/>
          </rPr>
          <t>SEBRAE/PR:</t>
        </r>
        <r>
          <rPr>
            <sz val="8"/>
            <rFont val="Tahoma"/>
            <family val="0"/>
          </rPr>
          <t xml:space="preserve">
CMV/(1-%OUTROS CUSTOS VARIÁVEIS)*100</t>
        </r>
      </text>
    </comment>
  </commentList>
</comments>
</file>

<file path=xl/comments3.xml><?xml version="1.0" encoding="utf-8"?>
<comments xmlns="http://schemas.openxmlformats.org/spreadsheetml/2006/main">
  <authors>
    <author>SEBRAE</author>
  </authors>
  <commentList>
    <comment ref="B3" authorId="0">
      <text>
        <r>
          <rPr>
            <b/>
            <sz val="10"/>
            <rFont val="Tahoma"/>
            <family val="0"/>
          </rPr>
          <t>SEBRAE:</t>
        </r>
        <r>
          <rPr>
            <sz val="10"/>
            <rFont val="Tahoma"/>
            <family val="0"/>
          </rPr>
          <t xml:space="preserve">
Informe o setor</t>
        </r>
      </text>
    </comment>
    <comment ref="B1" authorId="0">
      <text>
        <r>
          <rPr>
            <b/>
            <sz val="10"/>
            <rFont val="Tahoma"/>
            <family val="0"/>
          </rPr>
          <t>SEBRAE:</t>
        </r>
        <r>
          <rPr>
            <sz val="10"/>
            <rFont val="Tahoma"/>
            <family val="0"/>
          </rPr>
          <t xml:space="preserve">
Inserir o Nome do Cliente</t>
        </r>
      </text>
    </comment>
  </commentList>
</comments>
</file>

<file path=xl/sharedStrings.xml><?xml version="1.0" encoding="utf-8"?>
<sst xmlns="http://schemas.openxmlformats.org/spreadsheetml/2006/main" count="541" uniqueCount="412">
  <si>
    <t>de acordo com a localização do(s) comprador(es).</t>
  </si>
  <si>
    <t>Fale com o Consultor</t>
  </si>
  <si>
    <t>Para saber quais percentuais utilizar na planilha sugerimos que seja verificado o</t>
  </si>
  <si>
    <t>Informe a Comissão de vendas paga ao(s) funcionário(s), mas lembre-se que o percentual</t>
  </si>
  <si>
    <r>
      <t xml:space="preserve">da empresa, então o valor que deve ser colocado na "comissaõ de vendas" é de: 0,30 x 5= </t>
    </r>
    <r>
      <rPr>
        <b/>
        <sz val="10"/>
        <rFont val="Verdana"/>
        <family val="2"/>
      </rPr>
      <t>1,5%</t>
    </r>
  </si>
  <si>
    <t>Caso existam outros valores que se comportam como custos variáveis e não foram inclusos no</t>
  </si>
  <si>
    <t>custo da mercadoria (da planilha Previsão de Vendas) então insira o percentual no campo "Outros.</t>
  </si>
  <si>
    <t>No item "Débito de ICMS", preencha o percentual que sua empresa venderá para cada destino/UF</t>
  </si>
  <si>
    <t>No item "Crédito de ICMS", preencha o percentual que sua empresa comprará de cada destino/UF</t>
  </si>
  <si>
    <t>de acordo com a localização do(s) fornecedor(es).</t>
  </si>
  <si>
    <t>enquadramento de sua empresa em</t>
  </si>
  <si>
    <t>Custos Variáveis</t>
  </si>
  <si>
    <t>Orçamento de Receitas e Despesas</t>
  </si>
  <si>
    <t>Prazos Médios</t>
  </si>
  <si>
    <t>Investimento Fixo</t>
  </si>
  <si>
    <t>Ponto de Equilíbrio</t>
  </si>
  <si>
    <t>Mão-de-Obra</t>
  </si>
  <si>
    <t>Análise de Sensibilidade</t>
  </si>
  <si>
    <t>Cliente:</t>
  </si>
  <si>
    <t>Nome de Fantasia</t>
  </si>
  <si>
    <t>Setor:</t>
  </si>
  <si>
    <t>Indústria</t>
  </si>
  <si>
    <t>Comércio</t>
  </si>
  <si>
    <t>Serviços</t>
  </si>
  <si>
    <t>Cidade</t>
  </si>
  <si>
    <t>TRIBUTAÇÃO</t>
  </si>
  <si>
    <t>Alíquota</t>
  </si>
  <si>
    <t>1.2.3 - Esfera Federal</t>
  </si>
  <si>
    <t>Simples</t>
  </si>
  <si>
    <t>%</t>
  </si>
  <si>
    <t>Normal</t>
  </si>
  <si>
    <t>Faixa</t>
  </si>
  <si>
    <t>1.2.4 - Esfera Estadual</t>
  </si>
  <si>
    <t>ENQUADRAMENTO/PORTE - VALOR EM R$</t>
  </si>
  <si>
    <t>PORTE</t>
  </si>
  <si>
    <t>FATURAMENTO ANUAL BRUTO ATÉ</t>
  </si>
  <si>
    <t>MICROEMPRESA</t>
  </si>
  <si>
    <t>PEQUENA EMPRESA</t>
  </si>
  <si>
    <t>TABELA DE ENQUADRAMENTO NO SIMPLES ESTADUAL</t>
  </si>
  <si>
    <t>valor fixo</t>
  </si>
  <si>
    <t>ICMS</t>
  </si>
  <si>
    <t>A</t>
  </si>
  <si>
    <t>até</t>
  </si>
  <si>
    <t>B</t>
  </si>
  <si>
    <t>C</t>
  </si>
  <si>
    <t>Plano de Negócios</t>
  </si>
  <si>
    <t>das informações levantadas por você, futuro empreendedor.</t>
  </si>
  <si>
    <t xml:space="preserve"> Assim a sua eficácia está atrelada à confiabilidade</t>
  </si>
  <si>
    <t>Salientamos a importância de você analisar todos os</t>
  </si>
  <si>
    <t>pontos fortes e fracos de sua futura empresa,</t>
  </si>
  <si>
    <t>e lembre-se: o papel do empresário é fundamental</t>
  </si>
  <si>
    <t xml:space="preserve"> para o sucesso do empreendimento.</t>
  </si>
  <si>
    <t xml:space="preserve">Parabéns pela sua opção, e conte com o SEBRAE </t>
  </si>
  <si>
    <t>na sua caminhada rumo ao sucesso!</t>
  </si>
  <si>
    <t>Valor $</t>
  </si>
  <si>
    <t xml:space="preserve"> Estes quadros apresentam informações que servem para o cálculo</t>
  </si>
  <si>
    <t>da Receita Total da Empresa.</t>
  </si>
  <si>
    <t>POLÍTICA DE VENDA</t>
  </si>
  <si>
    <t>Política de Venda</t>
  </si>
  <si>
    <t>Dias</t>
  </si>
  <si>
    <t>Venda a Vista</t>
  </si>
  <si>
    <t>-</t>
  </si>
  <si>
    <t>Venda a Prazo</t>
  </si>
  <si>
    <t>Prazo Médio</t>
  </si>
  <si>
    <t>POLÍTICA DE COMPRA</t>
  </si>
  <si>
    <t>Forma de Compra</t>
  </si>
  <si>
    <t>A Vista</t>
  </si>
  <si>
    <t>A Prazo</t>
  </si>
  <si>
    <t xml:space="preserve"> Este quadro apresenta a divisão das compras à vista e à prazo</t>
  </si>
  <si>
    <t>em relação as compras totais.</t>
  </si>
  <si>
    <t>POLÍTICA DE ESTOQUE</t>
  </si>
  <si>
    <t>Total</t>
  </si>
  <si>
    <t xml:space="preserve"> Este quadro define qual deve ser o estoque mínimo necessário</t>
  </si>
  <si>
    <t>em dias.</t>
  </si>
  <si>
    <t>DISCRIMINAÇÃO</t>
  </si>
  <si>
    <t>VALOR $</t>
  </si>
  <si>
    <t>Construções</t>
  </si>
  <si>
    <t>Máquinas e Equipamentos</t>
  </si>
  <si>
    <t>Móveis e Utensílios</t>
  </si>
  <si>
    <t>Veículos</t>
  </si>
  <si>
    <t>Outros</t>
  </si>
  <si>
    <t>TOTAL</t>
  </si>
  <si>
    <t xml:space="preserve"> Este quadro apresenta todo o investimento em imobilizado, que será necessário</t>
  </si>
  <si>
    <t xml:space="preserve"> para a Empresa poder manter sua estrutura em perfeito funcionamento.</t>
  </si>
  <si>
    <t>Reformas</t>
  </si>
  <si>
    <t>Taxa de Franquia</t>
  </si>
  <si>
    <t>Encargos</t>
  </si>
  <si>
    <t xml:space="preserve"> Este quadro apresenta a utilização de mão-de-obra direta</t>
  </si>
  <si>
    <t xml:space="preserve"> (utilizada na produção), e indireta (utilizada nos serviços administrativos</t>
  </si>
  <si>
    <t xml:space="preserve">  e escritório) e seus respectivos salários e encargos sociais.</t>
  </si>
  <si>
    <t>Discriminação</t>
  </si>
  <si>
    <t>Despesas com Veículos</t>
  </si>
  <si>
    <t>Material de Expediente e Consumo</t>
  </si>
  <si>
    <t>Seguros</t>
  </si>
  <si>
    <t>Depreciação</t>
  </si>
  <si>
    <t>Manutenção</t>
  </si>
  <si>
    <t>Condomínio</t>
  </si>
  <si>
    <t>Aluguel</t>
  </si>
  <si>
    <t>Despesas de Viagem</t>
  </si>
  <si>
    <t>Serviços de Terceiros</t>
  </si>
  <si>
    <t>Ônibus, Táxis e Selos</t>
  </si>
  <si>
    <t xml:space="preserve"> Este quadro representa o somatório dos custos fixos, ou seja, aqueles que</t>
  </si>
  <si>
    <t xml:space="preserve"> independem do maior ou menor valor das vendas. São custos da manutenção</t>
  </si>
  <si>
    <t xml:space="preserve"> da estrutura da Empresa.</t>
  </si>
  <si>
    <t>Mão-de-Obra+ Encargos</t>
  </si>
  <si>
    <t>Água</t>
  </si>
  <si>
    <t>Luz</t>
  </si>
  <si>
    <t>Retirada dos Sócios</t>
  </si>
  <si>
    <t>Telefone</t>
  </si>
  <si>
    <t>Contador</t>
  </si>
  <si>
    <t>Propaganda e Publicidade</t>
  </si>
  <si>
    <t>Tributos e Comissões</t>
  </si>
  <si>
    <t>R$</t>
  </si>
  <si>
    <t>PIS</t>
  </si>
  <si>
    <t>COFINS</t>
  </si>
  <si>
    <t>Contribuição Social</t>
  </si>
  <si>
    <t>Comissão de Vendas</t>
  </si>
  <si>
    <t>ISS</t>
  </si>
  <si>
    <t>IPI</t>
  </si>
  <si>
    <t>SIMPLES Federal</t>
  </si>
  <si>
    <t>SIMPLES Estadual</t>
  </si>
  <si>
    <t xml:space="preserve"> Este quadro apresenta os custos que tem relação direta com as vendas, ou seja,</t>
  </si>
  <si>
    <t xml:space="preserve"> só ocorrem quando efetiva-se a venda.</t>
  </si>
  <si>
    <t>A. DEBITO ICMS</t>
  </si>
  <si>
    <t xml:space="preserve">Destino Produto/UF </t>
  </si>
  <si>
    <t>Vendas</t>
  </si>
  <si>
    <t>Valor do Débito</t>
  </si>
  <si>
    <t>Paraná</t>
  </si>
  <si>
    <t>Sul / Sudeste</t>
  </si>
  <si>
    <t>Norte / Nordeste / MT / MS</t>
  </si>
  <si>
    <t>B. CREDITO ICMS</t>
  </si>
  <si>
    <t>Estado de Origem</t>
  </si>
  <si>
    <t>Compras</t>
  </si>
  <si>
    <t>Valor do Crédito</t>
  </si>
  <si>
    <t xml:space="preserve"> Este quadro calcula qual o custo real do ICMS que a Empresa incorreu no mês,</t>
  </si>
  <si>
    <t xml:space="preserve"> ou seja, a diferença entre o débito e o crédito.</t>
  </si>
  <si>
    <t>IMPOSTO DE RENDA</t>
  </si>
  <si>
    <t>Lucro Real = 1 ou  Lucro Presumido = 0        ==&gt;</t>
  </si>
  <si>
    <t>Se optou p/ Lucro Presumido informe o percentual (%)</t>
  </si>
  <si>
    <t>Valor do Imposto</t>
  </si>
  <si>
    <t>Indústria / Comércio</t>
  </si>
  <si>
    <t>Serviço</t>
  </si>
  <si>
    <t xml:space="preserve"> Este quadro serve para optar pelo sistema do Imposto de Renda desejado, ou seja,</t>
  </si>
  <si>
    <t xml:space="preserve"> Lucro Real ou Lucro Presumido.</t>
  </si>
  <si>
    <t xml:space="preserve"> 1. Receita Total</t>
  </si>
  <si>
    <t xml:space="preserve"> 2. Custos Variáveis Totais</t>
  </si>
  <si>
    <t>Imposto de Renda Presumido</t>
  </si>
  <si>
    <t xml:space="preserve"> 3. Margem de Contribuição</t>
  </si>
  <si>
    <t xml:space="preserve"> 4. Custos Fixos Totais</t>
  </si>
  <si>
    <t>Contribuição Social Após o Lucro</t>
  </si>
  <si>
    <t>Imposto de Renda Pessoa Jurídica</t>
  </si>
  <si>
    <t xml:space="preserve"> Este quadro utiliza as informações levantadas nos quadros anteriores, e nos mostra</t>
  </si>
  <si>
    <t xml:space="preserve"> a relação das Receitas Totais e dos Custos, apresentando qual é o Lucro Líquido da</t>
  </si>
  <si>
    <t xml:space="preserve"> Empresa.</t>
  </si>
  <si>
    <t xml:space="preserve"> 1-Aplicações de Recursos</t>
  </si>
  <si>
    <t>Disponibilidade para 01 dia</t>
  </si>
  <si>
    <t>Contas a Receber</t>
  </si>
  <si>
    <t>Estoques</t>
  </si>
  <si>
    <t xml:space="preserve"> 2. Fontes de Recursos</t>
  </si>
  <si>
    <t>Fornecedores</t>
  </si>
  <si>
    <t>Tributos/Comissões/Salários</t>
  </si>
  <si>
    <t>Empréstimos</t>
  </si>
  <si>
    <t xml:space="preserve"> 3. Necessidade de Capital de Giro</t>
  </si>
  <si>
    <t xml:space="preserve"> Este quadro apresenta o volume de capital de giro próprio que será necessário para </t>
  </si>
  <si>
    <t xml:space="preserve"> movimentar seu negócio.</t>
  </si>
  <si>
    <t>AVALIAÇÃO ECONÔMICO/FINANCEIRA</t>
  </si>
  <si>
    <t>Investimento Inicial</t>
  </si>
  <si>
    <t>Rentabilidade</t>
  </si>
  <si>
    <t>Lucratividade</t>
  </si>
  <si>
    <t>Retorno do Investimento</t>
  </si>
  <si>
    <t>Capacidade de Pagamento</t>
  </si>
  <si>
    <t xml:space="preserve"> Este quadro apresenta dados referentes à avaliação econômico-financeira do investimento, e representam:</t>
  </si>
  <si>
    <t xml:space="preserve"> o investimento total.</t>
  </si>
  <si>
    <t xml:space="preserve"> para pagar o investimento realizado.</t>
  </si>
  <si>
    <t>O ponto de equilíbrio demonstra a venda mínima que sua empresa deve alcançar.</t>
  </si>
  <si>
    <t>e corresponde a</t>
  </si>
  <si>
    <t>das vendas previstas.</t>
  </si>
  <si>
    <t>Tipo de Produto</t>
  </si>
  <si>
    <t>Venda</t>
  </si>
  <si>
    <t xml:space="preserve">Preço </t>
  </si>
  <si>
    <t>Preço</t>
  </si>
  <si>
    <t>Mínima</t>
  </si>
  <si>
    <t>Previsto</t>
  </si>
  <si>
    <t>Prevista</t>
  </si>
  <si>
    <t>Mínimo</t>
  </si>
  <si>
    <t xml:space="preserve"> Estes quadros apresentam o volume de vendas mínimo, em relação à quantidade </t>
  </si>
  <si>
    <t xml:space="preserve"> e ao preço, necessário para que a empresa atinja seu ponto de equilíbrio.</t>
  </si>
  <si>
    <t>Custo Total</t>
  </si>
  <si>
    <t>Custo Fixo</t>
  </si>
  <si>
    <t>PE</t>
  </si>
  <si>
    <t>CV</t>
  </si>
  <si>
    <t>INDICADORES</t>
  </si>
  <si>
    <t>ALTERAÇÕES</t>
  </si>
  <si>
    <t>NOVOS INDICADORES</t>
  </si>
  <si>
    <t>ATUAIS</t>
  </si>
  <si>
    <t>PROPOSTAS</t>
  </si>
  <si>
    <t>Alterando Fatura-</t>
  </si>
  <si>
    <t>Alterando o</t>
  </si>
  <si>
    <t>mento e Custos</t>
  </si>
  <si>
    <t>Lucro Líquido</t>
  </si>
  <si>
    <t>Valores</t>
  </si>
  <si>
    <t>Faturamento</t>
  </si>
  <si>
    <t>Custo (CMV ou CMA)</t>
  </si>
  <si>
    <t>Lucro Bruto</t>
  </si>
  <si>
    <t>Custos Fixos</t>
  </si>
  <si>
    <t>% a.m.</t>
  </si>
  <si>
    <t>meses</t>
  </si>
  <si>
    <t xml:space="preserve"> PROJEÇÃO DE RECEITAS OPERACIONAIS</t>
  </si>
  <si>
    <t xml:space="preserve"> A) PRODUTOS</t>
  </si>
  <si>
    <t>Produtos</t>
  </si>
  <si>
    <t>Qtde.</t>
  </si>
  <si>
    <t>Receita Total</t>
  </si>
  <si>
    <t>$ IPI</t>
  </si>
  <si>
    <t xml:space="preserve"> Estes quadros possibilitam projetarmos as receitas operacionais, ou seja, o valor total</t>
  </si>
  <si>
    <t xml:space="preserve"> das vendas mensais, dos produtos ou serviços a partir do seu preço unitário.</t>
  </si>
  <si>
    <t>PROJEÇÃO DE CUSTOS OPERACIONAIS/PRODUTOS/SERVIÇOS</t>
  </si>
  <si>
    <t>Custo Unit</t>
  </si>
  <si>
    <t>Custo dos Produtos</t>
  </si>
  <si>
    <t>Outros Custos Variáveis</t>
  </si>
  <si>
    <t>Avaliação Econômico-Financeira</t>
  </si>
  <si>
    <t>índices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</si>
  <si>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</si>
  <si>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</si>
  <si>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</si>
  <si>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</si>
  <si>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</si>
  <si>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</si>
  <si>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</si>
  <si>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</si>
  <si>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</si>
  <si>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</si>
  <si>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</si>
  <si>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</si>
  <si>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Previsão Anual</t>
  </si>
  <si>
    <t>Gráfico PE</t>
  </si>
  <si>
    <t xml:space="preserve"> 2.Custo Total</t>
  </si>
  <si>
    <t>Neste projeto, o valor do ponto de equilíbrio</t>
  </si>
  <si>
    <t xml:space="preserve"> é de    R$</t>
  </si>
  <si>
    <t>Previsão de Vendas e Custos</t>
  </si>
  <si>
    <t>De 15000 a</t>
  </si>
  <si>
    <t>De 40000 a</t>
  </si>
  <si>
    <t xml:space="preserve">Acima de </t>
  </si>
  <si>
    <t>ICMS=ISS</t>
  </si>
  <si>
    <t>D</t>
  </si>
  <si>
    <t>Faturamento Anual (R$)</t>
  </si>
  <si>
    <t xml:space="preserve"> 5. Resultado Operacional</t>
  </si>
  <si>
    <t xml:space="preserve"> 7. Resultado</t>
  </si>
  <si>
    <t xml:space="preserve"> 6. Resultado Após Contribuição Social</t>
  </si>
  <si>
    <t xml:space="preserve"> para fazer frente a amortização de empréstimos. É o Resultado mais a Depreciação.</t>
  </si>
  <si>
    <t xml:space="preserve">   QUANTIDADE MÍNIMA A SER VENDIDA</t>
  </si>
  <si>
    <t>PREÇO MÍNIMO</t>
  </si>
  <si>
    <t>*R.F.MPE´s</t>
  </si>
  <si>
    <t>Regime Fiscal MPE's - Estadual</t>
  </si>
  <si>
    <t>PLANO DE NEGÓCIOS</t>
  </si>
  <si>
    <t>O que é ?</t>
  </si>
  <si>
    <t>É um estudo prévio que avalia as vantagens ou desvantagens de se abrir uma empresa.</t>
  </si>
  <si>
    <t>Para que serve ?</t>
  </si>
  <si>
    <t>Que perguntas poderão ser respondidas ?</t>
  </si>
  <si>
    <t xml:space="preserve"> Antecipar dificuldades que só seriam vistas na “prática”;</t>
  </si>
  <si>
    <t xml:space="preserve"> Diminuir riscos e aumentar as possibilidades de sucesso;</t>
  </si>
  <si>
    <t xml:space="preserve"> Permitir maior conhecimento do negócio;</t>
  </si>
  <si>
    <t xml:space="preserve"> Reunir e ordenar as idéias e providências sobre o negócio;</t>
  </si>
  <si>
    <t xml:space="preserve"> Permitir várias simulações sem prejuízos financeiros;</t>
  </si>
  <si>
    <t xml:space="preserve"> Demonstrar organização, perseverança e seriedade no negócio;</t>
  </si>
  <si>
    <t xml:space="preserve"> Atrair possíveis sócios, fornecedores, parcerias e ajuda na negociação de recursos financeiros.</t>
  </si>
  <si>
    <t xml:space="preserve"> Quanto tenho que investir ?</t>
  </si>
  <si>
    <t xml:space="preserve"> Quanto terei de lucro ?</t>
  </si>
  <si>
    <t xml:space="preserve"> Que recursos serão necessários ?</t>
  </si>
  <si>
    <t xml:space="preserve"> Quem serão meus consumidores, fornecedores e concorrentes ?</t>
  </si>
  <si>
    <t xml:space="preserve"> Quais serão os impostos ?</t>
  </si>
  <si>
    <t xml:space="preserve"> Vale a pena?</t>
  </si>
  <si>
    <t>O que é um Plano de Negócios?</t>
  </si>
  <si>
    <t>Apresentação</t>
  </si>
  <si>
    <t>Voltar</t>
  </si>
  <si>
    <t>Mercado Consumidor</t>
  </si>
  <si>
    <t>São as pessoas e as empresas que consomem o produto ou serviço.</t>
  </si>
  <si>
    <t>Definição</t>
  </si>
  <si>
    <t>Quem são os clientes?</t>
  </si>
  <si>
    <t>Quantos são?</t>
  </si>
  <si>
    <t>Onde estão localizados?</t>
  </si>
  <si>
    <t>Qual é o preço que pagam atualmente por esse produto ou serviço similar?</t>
  </si>
  <si>
    <t>Qual a quantidade que o cliente consome hoje e em que periodicidade?</t>
  </si>
  <si>
    <t>Qual a quantidade possível de ser vendida neste mercado?</t>
  </si>
  <si>
    <t>Qual o nível de qualidade exigido por esse mercado?</t>
  </si>
  <si>
    <t>O local escolhido para instalar a empresa é adequado?</t>
  </si>
  <si>
    <t>Mercado Fornecedor</t>
  </si>
  <si>
    <t>Que matérias-primas, insumos e mercadorias são necessários?</t>
  </si>
  <si>
    <t>Que preços e condições de pagamento os fornecedores oferecem?</t>
  </si>
  <si>
    <t>Quais são os problemas de abastecimento que ocorrem ou podem ocorrer?</t>
  </si>
  <si>
    <t>Há sazonalidade ou problemas no abastecimento?</t>
  </si>
  <si>
    <t>Os fornecedores estarão preparados para atender?</t>
  </si>
  <si>
    <t>Qual a qualidade e quantidade mínima  oferecida?</t>
  </si>
  <si>
    <t>Lembre-se: sempre que possível evite intermediários</t>
  </si>
  <si>
    <t>Quem são os  fornecedores e onde estão localizados?</t>
  </si>
  <si>
    <t>Mercado Concorrente</t>
  </si>
  <si>
    <t>São as pessoas e as empresas que competem pela preferência dos</t>
  </si>
  <si>
    <t>consumidores de um produto ou serviço.</t>
  </si>
  <si>
    <t>Qual a qualidade do produto ou serviço oferecido por eles?</t>
  </si>
  <si>
    <t>Que preços e prazos praticam?</t>
  </si>
  <si>
    <t>Quais são os concorrentes e onde estão localizados?</t>
  </si>
  <si>
    <t>Lembre-se: a concorrência é sadia e também serve como parâmetro de</t>
  </si>
  <si>
    <t>comparação e de parceria.</t>
  </si>
  <si>
    <t>Quais são seus pontos fortes? (preço, qualidade, prazo, exclusividade,</t>
  </si>
  <si>
    <t xml:space="preserve"> atendimento, localização).</t>
  </si>
  <si>
    <t>Quais são os seus pontos  fracos? (preço, qualidade, prazo, exclusividade,</t>
  </si>
  <si>
    <t>a) Descrição do Produto</t>
  </si>
  <si>
    <t>b) Unidade      Qtde / hora</t>
  </si>
  <si>
    <t>c) Custo Unitário da Mercadoria</t>
  </si>
  <si>
    <t>d) Preço de Venda</t>
  </si>
  <si>
    <t>e) % IPI</t>
  </si>
  <si>
    <t>Perguntas a serem respondidas</t>
  </si>
  <si>
    <t>Descreva abaixo o mercado consumidor da sua empresa:</t>
  </si>
  <si>
    <t>Por que comprariam o meu produto?</t>
  </si>
  <si>
    <t>São as pessoas e as empresas que fornecem matérias-primas e equipamentos</t>
  </si>
  <si>
    <t>que serão utilizados para fabricação ou revenda do produto.</t>
  </si>
  <si>
    <t>Descreva abaixo o mercado fornecedor da sua empresa:</t>
  </si>
  <si>
    <t>Descreva abaixo o mercado concorrente da sua empresa:</t>
  </si>
  <si>
    <t>Instruções para o preenchimento</t>
  </si>
  <si>
    <t>a) Descrever  todos os produtos/grupos ou serviços que compõem a atividade da  empresa.</t>
  </si>
  <si>
    <t>c) Considerar o custo de aquisição dos materiais/mercadorias dos produtos/serviços a serem comercializados pela empresa.</t>
  </si>
  <si>
    <t>d) Calcular ou pesquisar os preços de venda que se pretende praticar na comercialização de cada produto/serviço.</t>
  </si>
  <si>
    <t>Recomendações</t>
  </si>
  <si>
    <t xml:space="preserve"> Pesquise os preços de mercado/custos consultanto os concorrentes e fornecedores. Evite “chutes”.</t>
  </si>
  <si>
    <t xml:space="preserve"> Estime as quantidades sem exageros, seja realista.</t>
  </si>
  <si>
    <t xml:space="preserve"> Nos negócios que envolvam grande número de produtos diferenciados, separe por grupos de produtos.</t>
  </si>
  <si>
    <t>Preencha abaixo os dados da sua empresa:</t>
  </si>
  <si>
    <t>São as vendas e custos de produtos que você estima que sejam realizadas (mensalmente)</t>
  </si>
  <si>
    <t>Esses itens são facilmente obtidos por meio de pesquisa entre os concorrentes e fornecedores;</t>
  </si>
  <si>
    <t>b) Em função do porte, equipamentos e mão- de-obra, estimar a quantidade prevista para cada produto/serviço a ser</t>
  </si>
  <si>
    <r>
      <t xml:space="preserve">produzido/vendido durante o </t>
    </r>
    <r>
      <rPr>
        <b/>
        <sz val="10"/>
        <rFont val="Verdana"/>
        <family val="2"/>
      </rPr>
      <t>mês.</t>
    </r>
  </si>
  <si>
    <t>a) É a média do prazo de financiamento a clientes, ou seja, do prazo dado ao cliente para efetuar o</t>
  </si>
  <si>
    <t>pagamento de suas compras.</t>
  </si>
  <si>
    <t>b) Idem ao item anterior, porém em relação ao prazo médio dado pelos fornecedores para o</t>
  </si>
  <si>
    <t>pagamento dos produtos e serviços.</t>
  </si>
  <si>
    <t>c) É o número de dias necessários para a reposição do estoque pelo fornecedor, ou seja, o tempo</t>
  </si>
  <si>
    <t xml:space="preserve"> entre a solicitação e o recebimento de um pedido feito.</t>
  </si>
  <si>
    <t>Lembre-se de que nas vendas, financiamos nossos clientes por meio dos prazos dados para</t>
  </si>
  <si>
    <t>pagamento. Porém, também somos financiados por nossos fornecedores por meio dos  prazos dados</t>
  </si>
  <si>
    <t>para pagamento, como também para os salários, água, luz, telefone e outros.</t>
  </si>
  <si>
    <t>São alguns dos dados necessários para cálculo do capital de giro, que é a necessidade de caixa ($)</t>
  </si>
  <si>
    <t>para manter a empresa até o recebimento das vendas.</t>
  </si>
  <si>
    <t>É o montante de recursos necessários à implantação de toda a infra-estrutura física do projeto.</t>
  </si>
  <si>
    <t>Deve ser programado para atender às necessidades da empresa.</t>
  </si>
  <si>
    <t>INVESTIMENTO FIXO</t>
  </si>
  <si>
    <t>PRAZOS DE VENDAS/COMPRAS/ESTOQUES</t>
  </si>
  <si>
    <t>PREVISÃO DE VENDAS E CUSTOS</t>
  </si>
  <si>
    <t>MERCADO CONSUMIDOR</t>
  </si>
  <si>
    <t>MERCADO FORNECEDOR</t>
  </si>
  <si>
    <t>MERCADO CONCORRENTE</t>
  </si>
  <si>
    <t>a) Prazo médio de venda das mercadorias</t>
  </si>
  <si>
    <t>b) Prazo médio de compras</t>
  </si>
  <si>
    <t>c) Necessidade média de estoques</t>
  </si>
  <si>
    <t xml:space="preserve"> Este quadro apresenta a divisão das vendas à vista e à prazo</t>
  </si>
  <si>
    <t>em relação as vendas totais.</t>
  </si>
  <si>
    <t xml:space="preserve"> Terceirize o que puder, ao invés de adquirir máquinas e equipamentos.</t>
  </si>
  <si>
    <t xml:space="preserve"> A finalidade do negócio é produzir/comercializar/prestar serviços e não imobilizar recursos.</t>
  </si>
  <si>
    <t xml:space="preserve"> Evite imobilizações desnecessárias. Quando possível, alugue ao invés de construir ou comprar.</t>
  </si>
  <si>
    <t xml:space="preserve"> Faça o investimento consciente de que os recursos financeiros que você está empregando são</t>
  </si>
  <si>
    <t xml:space="preserve"> suficientes e necessários.</t>
  </si>
  <si>
    <t xml:space="preserve"> conservação e a garantia.</t>
  </si>
  <si>
    <t xml:space="preserve"> Pesquise opções  de aquisição  (leilões, classificados, lojas de usados). Cuidado com o estado de</t>
  </si>
  <si>
    <t>Informe os recursos necessários que serão comprados pela empresa.</t>
  </si>
  <si>
    <t>A depreciação será calculada automaticamente.</t>
  </si>
  <si>
    <t>MÃO-DE-OBRA</t>
  </si>
  <si>
    <t>Estabelece toda a necessidade de profissionais por cargo/função, quantidade e</t>
  </si>
  <si>
    <t>valor de salário a ser pago.</t>
  </si>
  <si>
    <t>a) Cargo/Função</t>
  </si>
  <si>
    <t>b) nº func.</t>
  </si>
  <si>
    <t>c) Salário</t>
  </si>
  <si>
    <t>a) Relacionar a função/cargo a ser ocupado;</t>
  </si>
  <si>
    <t>b) Registrar a quantidade necessária de acordo com a função;</t>
  </si>
  <si>
    <t>c) Registrar o salário  a ser pago, sem os encargos sociais, somente o salário em carteira.</t>
  </si>
  <si>
    <t xml:space="preserve"> Verifique  o currículo/histó-rico dos candidatos. </t>
  </si>
  <si>
    <t xml:space="preserve"> Lembre-se de consultar os sindicatos de classe ( legislação, acordos, piso, horário, etc )</t>
  </si>
  <si>
    <t xml:space="preserve"> Cuidado com as contratações informais.</t>
  </si>
  <si>
    <t xml:space="preserve"> Recrute os profissionais por empresas especializadas, entidades geradoras de mão-de-obra, sindicatos etc;</t>
  </si>
  <si>
    <t>CUSTOS FIXOS OPERACIONAIS</t>
  </si>
  <si>
    <t xml:space="preserve">São todos os custos que ocorrem independentemente da quantidade de vendas/produção  da empresa. </t>
  </si>
  <si>
    <t>ganharia para fazer este trabalho ?</t>
  </si>
  <si>
    <t xml:space="preserve">tem cobertura anual, então deve-se dividir o valor total por doze meses e lançar o valor referente a </t>
  </si>
  <si>
    <t>um mês.</t>
  </si>
  <si>
    <t>exageros para cima ou para baixo.</t>
  </si>
  <si>
    <t>A retirada dos sócios é o salário do sócio que trabalha na empresa. Responda: quanto alguém</t>
  </si>
  <si>
    <t>Todos os valores devem ser de base mensal e, nesta fase do estudo, estimados.</t>
  </si>
  <si>
    <t>Cuidado com valores como publicidade e seguros, pois devem ser proporcionais ao mês, ex: seguro</t>
  </si>
  <si>
    <t>Lembre-se: devem ser valores médios e estimados, porém deve-se usar o bom senso evitando</t>
  </si>
  <si>
    <t>CUSTOS VARIÁVEIS</t>
  </si>
  <si>
    <t>São todos os custos que tem relação direta com as vendas, ou seja, quando ocorre a venda</t>
  </si>
  <si>
    <t>do produto, estes custos incidem sobre a operação</t>
  </si>
  <si>
    <t>incidirá sobre o total do faturamento, portanto estime em primeiro lugar o percentual da Previsão</t>
  </si>
  <si>
    <t xml:space="preserve">de Vendas realizado pelos funcionários comissionados. Ex.: Se você paga ao funcionário uma </t>
  </si>
  <si>
    <t>comissão de 5% sobre as vendas que realizar e ele é responsável apenas por 30% das vendas</t>
  </si>
  <si>
    <t>Inicie seu plano de negócios:</t>
  </si>
  <si>
    <t>Este documento é fruto</t>
  </si>
  <si>
    <r>
      <t xml:space="preserve"> </t>
    </r>
    <r>
      <rPr>
        <b/>
        <sz val="10"/>
        <rFont val="Verdana"/>
        <family val="2"/>
      </rPr>
      <t>INVESTIMENTO INICIAL</t>
    </r>
    <r>
      <rPr>
        <sz val="10"/>
        <rFont val="Verdana"/>
        <family val="2"/>
      </rPr>
      <t xml:space="preserve"> - É a soma do investimento fixo mais a necessidade de capital de giro</t>
    </r>
  </si>
  <si>
    <r>
      <t xml:space="preserve"> </t>
    </r>
    <r>
      <rPr>
        <b/>
        <sz val="10"/>
        <rFont val="Verdana"/>
        <family val="2"/>
      </rPr>
      <t>RENTABILIDADE</t>
    </r>
    <r>
      <rPr>
        <sz val="10"/>
        <rFont val="Verdana"/>
        <family val="2"/>
      </rPr>
      <t xml:space="preserve"> - é o percentual que representa o quanto rende mensalmente</t>
    </r>
  </si>
  <si>
    <r>
      <t xml:space="preserve"> </t>
    </r>
    <r>
      <rPr>
        <b/>
        <sz val="10"/>
        <rFont val="Verdana"/>
        <family val="2"/>
      </rPr>
      <t>LUCRATIVIDADE</t>
    </r>
    <r>
      <rPr>
        <sz val="10"/>
        <rFont val="Verdana"/>
        <family val="2"/>
      </rPr>
      <t xml:space="preserve"> - é o percentual que representa o lucro líquido mensal.</t>
    </r>
  </si>
  <si>
    <r>
      <t xml:space="preserve"> </t>
    </r>
    <r>
      <rPr>
        <b/>
        <sz val="10"/>
        <rFont val="Verdana"/>
        <family val="2"/>
      </rPr>
      <t>RETORNO DO INVESTIMENTO</t>
    </r>
    <r>
      <rPr>
        <sz val="10"/>
        <rFont val="Verdana"/>
        <family val="2"/>
      </rPr>
      <t xml:space="preserve"> - representa quantos meses a empresa levará </t>
    </r>
  </si>
  <si>
    <r>
      <t xml:space="preserve"> </t>
    </r>
    <r>
      <rPr>
        <b/>
        <sz val="10"/>
        <rFont val="Verdana"/>
        <family val="2"/>
      </rPr>
      <t>CAPACIDADE DE PAGAMENTO</t>
    </r>
    <r>
      <rPr>
        <sz val="10"/>
        <rFont val="Verdana"/>
        <family val="2"/>
      </rPr>
      <t xml:space="preserve"> - é a capacidade máxima que a Empresa possui </t>
    </r>
  </si>
  <si>
    <t>www.sebraepr.com.br</t>
  </si>
  <si>
    <t>utilize nosso serviço on-line:</t>
  </si>
  <si>
    <t>dos dados coletados.</t>
  </si>
  <si>
    <t xml:space="preserve">Procure um contador de sua confiança para lhe orientar, dirija-se </t>
  </si>
  <si>
    <t>mais próximo, ou</t>
  </si>
  <si>
    <t>ao Sebrae/PR</t>
  </si>
  <si>
    <t>Faturamento Acumulado</t>
  </si>
  <si>
    <t>Simples Federal</t>
  </si>
  <si>
    <t>Custo Variável corrigido</t>
  </si>
  <si>
    <t>Diferença</t>
  </si>
  <si>
    <t>Aliquota Simples Federal Ind.</t>
  </si>
  <si>
    <t>Outras Informações</t>
  </si>
  <si>
    <t xml:space="preserve">Material distribuidora Gratuitamento por www.josevalter.com.br 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</si>
</sst>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;&quot;R$&quot;\-#,##0"/>
    <numFmt numFmtId="185" formatCode="&quot;R$&quot;#,##0;[Red]&quot;R$&quot;\-#,##0"/>
    <numFmt numFmtId="186" formatCode="&quot;R$&quot;#,##0.00;&quot;R$&quot;\-#,##0.00"/>
    <numFmt numFmtId="187" formatCode="&quot;R$&quot;#,##0.00;[Red]&quot;R$&quot;\-#,##0.00"/>
    <numFmt numFmtId="188" formatCode="_ &quot;R$&quot;* #,##0_ ;_ &quot;R$&quot;* \-#,##0_ ;_ &quot;R$&quot;* &quot;-&quot;_ ;_ @_ "/>
    <numFmt numFmtId="189" formatCode="_ * #,##0_ ;_ * \-#,##0_ ;_ * &quot;-&quot;_ ;_ @_ "/>
    <numFmt numFmtId="190" formatCode="_ &quot;R$&quot;* #,##0.00_ ;_ &quot;R$&quot;* \-#,##0.00_ ;_ &quot;R$&quot;* &quot;-&quot;??_ ;_ @_ "/>
    <numFmt numFmtId="191" formatCode="_ * #,##0.00_ ;_ * \-#,##0.00_ ;_ * &quot;-&quot;??_ ;_ @_ "/>
    <numFmt numFmtId="192" formatCode="&quot;R$&quot;\ #,##0;&quot;R$&quot;\ \-#,##0"/>
    <numFmt numFmtId="193" formatCode="&quot;R$&quot;\ #,##0;[Red]&quot;R$&quot;\ \-#,##0"/>
    <numFmt numFmtId="194" formatCode="&quot;R$&quot;\ #,##0.00;&quot;R$&quot;\ \-#,##0.00"/>
    <numFmt numFmtId="195" formatCode="&quot;R$&quot;\ #,##0.00;[Red]&quot;R$&quot;\ \-#,##0.00"/>
    <numFmt numFmtId="196" formatCode="_ &quot;R$&quot;\ * #,##0_ ;_ &quot;R$&quot;\ * \-#,##0_ ;_ &quot;R$&quot;\ * &quot;-&quot;_ ;_ @_ "/>
    <numFmt numFmtId="197" formatCode="_ &quot;R$&quot;\ * #,##0.00_ ;_ &quot;R$&quot;\ * \-#,##0.00_ ;_ &quot;R$&quot;\ * &quot;-&quot;??_ ;_ @_ "/>
    <numFmt numFmtId="198" formatCode="General_)"/>
    <numFmt numFmtId="199" formatCode="0_)"/>
    <numFmt numFmtId="200" formatCode="0.00_)"/>
    <numFmt numFmtId="201" formatCode="#,##0.00\ ;[Red]\-#,##0.00\ "/>
    <numFmt numFmtId="202" formatCode="#,##0.000\ ;[Red]\-#,##0.000\ "/>
    <numFmt numFmtId="203" formatCode="#,##0.0\ ;[Red]\-#,##0.0\ "/>
    <numFmt numFmtId="204" formatCode="#,##0\ ;[Red]\-#,##0\ "/>
    <numFmt numFmtId="205" formatCode="_(&quot;Cr$&quot;\ * #,##0.00_);_(&quot;Cr$&quot;\ * \(#,##0.00\);_(&quot;Cr$&quot;\ * &quot;-&quot;??_);_(@_)"/>
    <numFmt numFmtId="206" formatCode="_(* #,##0.000_);_(* \(#,##0.000\);_(* &quot;-&quot;??_);_(@_)"/>
    <numFmt numFmtId="207" formatCode="0.0%"/>
    <numFmt numFmtId="208" formatCode="_(* #,##0_);_(* \(#,##0\);_(* &quot;-&quot;??_);_(@_)"/>
    <numFmt numFmtId="209" formatCode="0.000000"/>
    <numFmt numFmtId="210" formatCode="0.00000"/>
    <numFmt numFmtId="211" formatCode="0.0000"/>
    <numFmt numFmtId="212" formatCode="0.000"/>
    <numFmt numFmtId="213" formatCode="_(* #,##0.0_);_(* \(#,##0.0\);_(* &quot;-&quot;??_);_(@_)"/>
    <numFmt numFmtId="214" formatCode="0.0"/>
    <numFmt numFmtId="215" formatCode="_(* #,##0.0000_);_(* \(#,##0.0000\);_(* &quot;-&quot;??_);_(@_)"/>
    <numFmt numFmtId="216" formatCode="_(* #,##0.00000_);_(* \(#,##0.00000\);_(* &quot;-&quot;??_);_(@_)"/>
    <numFmt numFmtId="217" formatCode="&quot;R$&quot;\ #,##0.00"/>
    <numFmt numFmtId="218" formatCode="#,##0.00\ ;[Red]\-#,##0.00"/>
    <numFmt numFmtId="219" formatCode="General\ \ &quot;meses&quot;"/>
    <numFmt numFmtId="220" formatCode="&quot;meses&quot;"/>
    <numFmt numFmtId="221" formatCode="0\ &quot;meses&quot;"/>
    <numFmt numFmtId="222" formatCode="d/m/yy"/>
    <numFmt numFmtId="223" formatCode="dd/dm/yyyy"/>
    <numFmt numFmtId="224" formatCode="0.000%"/>
    <numFmt numFmtId="225" formatCode="0.0000%"/>
    <numFmt numFmtId="226" formatCode="0.00000%"/>
    <numFmt numFmtId="227" formatCode="dd\ &quot;de&quot;\ mmmm\ &quot;de&quot;\ yyyy\."/>
  </numFmts>
  <fonts count="70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Tahoma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11"/>
      <color indexed="9"/>
      <name val="Comic Sans MS"/>
      <family val="4"/>
    </font>
    <font>
      <b/>
      <sz val="12"/>
      <color indexed="12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Tahoma"/>
      <family val="0"/>
    </font>
    <font>
      <sz val="14"/>
      <name val="Tahoma"/>
      <family val="0"/>
    </font>
    <font>
      <sz val="10"/>
      <color indexed="9"/>
      <name val="Courier"/>
      <family val="3"/>
    </font>
    <font>
      <b/>
      <sz val="15.75"/>
      <name val="Arial"/>
      <family val="2"/>
    </font>
    <font>
      <sz val="20.25"/>
      <name val="Arial"/>
      <family val="0"/>
    </font>
    <font>
      <sz val="11.25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22"/>
      <name val="Arial"/>
      <family val="0"/>
    </font>
    <font>
      <b/>
      <sz val="27"/>
      <name val="Arial"/>
      <family val="0"/>
    </font>
    <font>
      <sz val="16"/>
      <name val="Arial"/>
      <family val="0"/>
    </font>
    <font>
      <sz val="22.5"/>
      <name val="Arial"/>
      <family val="0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8"/>
      <name val="Arial"/>
      <family val="0"/>
    </font>
    <font>
      <sz val="9"/>
      <name val="Arial Narrow"/>
      <family val="2"/>
    </font>
    <font>
      <sz val="8"/>
      <name val="Arial"/>
      <family val="2"/>
    </font>
    <font>
      <i/>
      <sz val="9"/>
      <color indexed="62"/>
      <name val="Comic Sans MS"/>
      <family val="4"/>
    </font>
    <font>
      <b/>
      <sz val="10"/>
      <name val="Courier"/>
      <family val="3"/>
    </font>
    <font>
      <sz val="6"/>
      <name val="Arial Narrow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sz val="10"/>
      <color indexed="43"/>
      <name val="Verdana"/>
      <family val="2"/>
    </font>
    <font>
      <sz val="10"/>
      <color indexed="43"/>
      <name val="Verdana"/>
      <family val="2"/>
    </font>
    <font>
      <sz val="10"/>
      <color indexed="9"/>
      <name val="Verdana"/>
      <family val="2"/>
    </font>
    <font>
      <sz val="12"/>
      <color indexed="43"/>
      <name val="Verdana"/>
      <family val="2"/>
    </font>
    <font>
      <sz val="11"/>
      <name val="Verdana"/>
      <family val="2"/>
    </font>
    <font>
      <b/>
      <u val="single"/>
      <sz val="14"/>
      <name val="Verdana"/>
      <family val="2"/>
    </font>
    <font>
      <b/>
      <i/>
      <sz val="11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Verdana"/>
      <family val="2"/>
    </font>
    <font>
      <i/>
      <sz val="9"/>
      <name val="Verdana"/>
      <family val="2"/>
    </font>
    <font>
      <b/>
      <sz val="14"/>
      <name val="Verdana"/>
      <family val="2"/>
    </font>
    <font>
      <b/>
      <sz val="12"/>
      <color indexed="12"/>
      <name val="Verdana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sz val="10"/>
      <color indexed="12"/>
      <name val="Verdana"/>
      <family val="2"/>
    </font>
    <font>
      <b/>
      <sz val="18"/>
      <color indexed="43"/>
      <name val="Verdana"/>
      <family val="2"/>
    </font>
    <font>
      <b/>
      <sz val="12"/>
      <color indexed="43"/>
      <name val="Verdana"/>
      <family val="2"/>
    </font>
    <font>
      <b/>
      <i/>
      <sz val="10"/>
      <color indexed="12"/>
      <name val="Verdana"/>
      <family val="2"/>
    </font>
    <font>
      <b/>
      <sz val="14"/>
      <color indexed="9"/>
      <name val="Verdana"/>
      <family val="2"/>
    </font>
    <font>
      <sz val="11"/>
      <color indexed="9"/>
      <name val="Verdan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indexed="9"/>
      </top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8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198" fontId="3" fillId="0" borderId="0" xfId="19">
      <alignment/>
      <protection/>
    </xf>
    <xf numFmtId="0" fontId="7" fillId="0" borderId="0" xfId="20" applyFont="1" applyFill="1">
      <alignment/>
      <protection/>
    </xf>
    <xf numFmtId="0" fontId="7" fillId="0" borderId="0" xfId="20" applyFont="1">
      <alignment/>
      <protection/>
    </xf>
    <xf numFmtId="198" fontId="5" fillId="0" borderId="0" xfId="19" applyFont="1" applyFill="1" applyBorder="1" applyAlignment="1" applyProtection="1">
      <alignment/>
      <protection hidden="1"/>
    </xf>
    <xf numFmtId="198" fontId="5" fillId="0" borderId="0" xfId="19" applyFont="1" applyFill="1" applyBorder="1" applyAlignment="1" applyProtection="1">
      <alignment horizontal="right"/>
      <protection hidden="1"/>
    </xf>
    <xf numFmtId="198" fontId="5" fillId="0" borderId="0" xfId="19" applyFont="1" applyFill="1" applyProtection="1">
      <alignment/>
      <protection hidden="1"/>
    </xf>
    <xf numFmtId="198" fontId="3" fillId="0" borderId="0" xfId="19" applyFill="1">
      <alignment/>
      <protection/>
    </xf>
    <xf numFmtId="201" fontId="11" fillId="0" borderId="0" xfId="15" applyNumberFormat="1" applyFont="1" applyFill="1" applyAlignment="1" applyProtection="1">
      <alignment/>
      <protection/>
    </xf>
    <xf numFmtId="201" fontId="13" fillId="0" borderId="0" xfId="19" applyNumberFormat="1" applyFont="1" applyFill="1" applyProtection="1">
      <alignment/>
      <protection/>
    </xf>
    <xf numFmtId="201" fontId="15" fillId="0" borderId="0" xfId="19" applyNumberFormat="1" applyFont="1" applyFill="1" applyBorder="1" applyAlignment="1" applyProtection="1">
      <alignment horizontal="centerContinuous"/>
      <protection hidden="1"/>
    </xf>
    <xf numFmtId="201" fontId="13" fillId="0" borderId="0" xfId="19" applyNumberFormat="1" applyFont="1" applyFill="1" applyProtection="1">
      <alignment/>
      <protection hidden="1"/>
    </xf>
    <xf numFmtId="201" fontId="13" fillId="0" borderId="0" xfId="19" applyNumberFormat="1" applyFont="1" applyFill="1" applyBorder="1" applyProtection="1">
      <alignment/>
      <protection/>
    </xf>
    <xf numFmtId="201" fontId="13" fillId="0" borderId="0" xfId="19" applyNumberFormat="1" applyFont="1" applyFill="1" applyBorder="1" applyProtection="1">
      <alignment/>
      <protection hidden="1"/>
    </xf>
    <xf numFmtId="201" fontId="13" fillId="0" borderId="0" xfId="19" applyNumberFormat="1" applyFont="1" applyFill="1" applyBorder="1" applyAlignment="1" applyProtection="1">
      <alignment/>
      <protection hidden="1"/>
    </xf>
    <xf numFmtId="201" fontId="13" fillId="0" borderId="0" xfId="19" applyNumberFormat="1" applyFont="1" applyFill="1" applyBorder="1" applyAlignment="1" applyProtection="1">
      <alignment horizontal="left"/>
      <protection hidden="1"/>
    </xf>
    <xf numFmtId="201" fontId="10" fillId="0" borderId="0" xfId="19" applyNumberFormat="1" applyFont="1" applyFill="1" applyProtection="1">
      <alignment/>
      <protection/>
    </xf>
    <xf numFmtId="201" fontId="12" fillId="0" borderId="0" xfId="19" applyNumberFormat="1" applyFont="1" applyFill="1" applyProtection="1">
      <alignment/>
      <protection hidden="1"/>
    </xf>
    <xf numFmtId="198" fontId="3" fillId="0" borderId="0" xfId="19" applyProtection="1">
      <alignment/>
      <protection hidden="1"/>
    </xf>
    <xf numFmtId="201" fontId="11" fillId="0" borderId="0" xfId="15" applyNumberFormat="1" applyFont="1" applyFill="1" applyAlignment="1" applyProtection="1">
      <alignment horizontal="center"/>
      <protection hidden="1"/>
    </xf>
    <xf numFmtId="198" fontId="6" fillId="2" borderId="1" xfId="19" applyFont="1" applyFill="1" applyBorder="1" applyAlignment="1" applyProtection="1">
      <alignment horizontal="center"/>
      <protection hidden="1" locked="0"/>
    </xf>
    <xf numFmtId="2" fontId="0" fillId="2" borderId="2" xfId="20" applyNumberFormat="1" applyFont="1" applyFill="1" applyBorder="1" applyAlignment="1" applyProtection="1">
      <alignment horizontal="center"/>
      <protection hidden="1" locked="0"/>
    </xf>
    <xf numFmtId="198" fontId="6" fillId="3" borderId="1" xfId="19" applyFont="1" applyFill="1" applyBorder="1" applyProtection="1">
      <alignment/>
      <protection hidden="1"/>
    </xf>
    <xf numFmtId="198" fontId="6" fillId="3" borderId="1" xfId="19" applyFont="1" applyFill="1" applyBorder="1" applyAlignment="1" applyProtection="1">
      <alignment horizontal="center"/>
      <protection hidden="1"/>
    </xf>
    <xf numFmtId="198" fontId="6" fillId="3" borderId="0" xfId="19" applyFont="1" applyFill="1" applyProtection="1">
      <alignment/>
      <protection hidden="1"/>
    </xf>
    <xf numFmtId="198" fontId="16" fillId="3" borderId="0" xfId="19" applyFont="1" applyFill="1" applyProtection="1">
      <alignment/>
      <protection hidden="1"/>
    </xf>
    <xf numFmtId="198" fontId="6" fillId="3" borderId="1" xfId="19" applyFont="1" applyFill="1" applyBorder="1" applyAlignment="1" applyProtection="1">
      <alignment horizontal="right"/>
      <protection hidden="1"/>
    </xf>
    <xf numFmtId="198" fontId="6" fillId="3" borderId="0" xfId="19" applyFont="1" applyFill="1" applyBorder="1" applyProtection="1">
      <alignment/>
      <protection hidden="1"/>
    </xf>
    <xf numFmtId="0" fontId="0" fillId="3" borderId="0" xfId="20" applyFont="1" applyFill="1">
      <alignment/>
      <protection/>
    </xf>
    <xf numFmtId="198" fontId="3" fillId="3" borderId="0" xfId="19" applyFont="1" applyFill="1" applyProtection="1">
      <alignment/>
      <protection hidden="1"/>
    </xf>
    <xf numFmtId="198" fontId="6" fillId="3" borderId="0" xfId="19" applyFont="1" applyFill="1" applyAlignment="1" applyProtection="1">
      <alignment horizontal="right"/>
      <protection hidden="1"/>
    </xf>
    <xf numFmtId="198" fontId="16" fillId="3" borderId="1" xfId="19" applyFont="1" applyFill="1" applyBorder="1" applyAlignment="1" applyProtection="1">
      <alignment horizontal="center"/>
      <protection hidden="1"/>
    </xf>
    <xf numFmtId="0" fontId="6" fillId="3" borderId="1" xfId="19" applyNumberFormat="1" applyFont="1" applyFill="1" applyBorder="1" applyAlignment="1" applyProtection="1">
      <alignment horizontal="center"/>
      <protection hidden="1"/>
    </xf>
    <xf numFmtId="198" fontId="6" fillId="3" borderId="0" xfId="19" applyFont="1" applyFill="1" applyAlignment="1" applyProtection="1">
      <alignment horizontal="center"/>
      <protection hidden="1"/>
    </xf>
    <xf numFmtId="198" fontId="6" fillId="3" borderId="3" xfId="19" applyFont="1" applyFill="1" applyBorder="1" applyAlignment="1" applyProtection="1">
      <alignment horizontal="center"/>
      <protection hidden="1"/>
    </xf>
    <xf numFmtId="198" fontId="6" fillId="3" borderId="0" xfId="19" applyFont="1" applyFill="1" applyAlignment="1" applyProtection="1">
      <alignment/>
      <protection hidden="1"/>
    </xf>
    <xf numFmtId="198" fontId="6" fillId="3" borderId="0" xfId="19" applyFont="1" applyFill="1" applyBorder="1" applyAlignment="1" applyProtection="1">
      <alignment horizontal="right"/>
      <protection hidden="1"/>
    </xf>
    <xf numFmtId="198" fontId="6" fillId="3" borderId="2" xfId="19" applyFont="1" applyFill="1" applyBorder="1" applyAlignment="1" applyProtection="1">
      <alignment horizontal="center"/>
      <protection hidden="1"/>
    </xf>
    <xf numFmtId="2" fontId="17" fillId="3" borderId="0" xfId="19" applyNumberFormat="1" applyFont="1" applyFill="1" applyBorder="1" applyAlignment="1" applyProtection="1">
      <alignment horizontal="center"/>
      <protection hidden="1"/>
    </xf>
    <xf numFmtId="0" fontId="6" fillId="3" borderId="1" xfId="20" applyFont="1" applyFill="1" applyBorder="1">
      <alignment/>
      <protection/>
    </xf>
    <xf numFmtId="0" fontId="6" fillId="3" borderId="2" xfId="20" applyNumberFormat="1" applyFont="1" applyFill="1" applyBorder="1" applyAlignment="1" applyProtection="1">
      <alignment horizontal="right"/>
      <protection/>
    </xf>
    <xf numFmtId="2" fontId="6" fillId="3" borderId="4" xfId="20" applyNumberFormat="1" applyFont="1" applyFill="1" applyBorder="1" applyAlignment="1" applyProtection="1">
      <alignment horizontal="left"/>
      <protection/>
    </xf>
    <xf numFmtId="0" fontId="18" fillId="3" borderId="0" xfId="20" applyFont="1" applyFill="1">
      <alignment/>
      <protection/>
    </xf>
    <xf numFmtId="0" fontId="0" fillId="3" borderId="1" xfId="20" applyFont="1" applyFill="1" applyBorder="1">
      <alignment/>
      <protection/>
    </xf>
    <xf numFmtId="0" fontId="16" fillId="3" borderId="2" xfId="20" applyFont="1" applyFill="1" applyBorder="1" applyAlignment="1" applyProtection="1">
      <alignment horizontal="left"/>
      <protection/>
    </xf>
    <xf numFmtId="0" fontId="16" fillId="3" borderId="2" xfId="20" applyFont="1" applyFill="1" applyBorder="1" applyAlignment="1" applyProtection="1">
      <alignment horizontal="centerContinuous"/>
      <protection/>
    </xf>
    <xf numFmtId="0" fontId="16" fillId="3" borderId="2" xfId="20" applyFont="1" applyFill="1" applyBorder="1" applyAlignment="1" applyProtection="1">
      <alignment horizontal="center"/>
      <protection/>
    </xf>
    <xf numFmtId="0" fontId="16" fillId="3" borderId="5" xfId="20" applyFont="1" applyFill="1" applyBorder="1" applyAlignment="1" applyProtection="1">
      <alignment horizontal="center"/>
      <protection/>
    </xf>
    <xf numFmtId="3" fontId="0" fillId="3" borderId="1" xfId="20" applyNumberFormat="1" applyFont="1" applyFill="1" applyBorder="1">
      <alignment/>
      <protection/>
    </xf>
    <xf numFmtId="0" fontId="0" fillId="3" borderId="2" xfId="20" applyFont="1" applyFill="1" applyBorder="1" applyAlignment="1" applyProtection="1">
      <alignment horizontal="right"/>
      <protection/>
    </xf>
    <xf numFmtId="4" fontId="0" fillId="3" borderId="2" xfId="20" applyNumberFormat="1" applyFont="1" applyFill="1" applyBorder="1" applyAlignment="1" applyProtection="1">
      <alignment horizontal="right"/>
      <protection/>
    </xf>
    <xf numFmtId="0" fontId="0" fillId="3" borderId="5" xfId="20" applyFont="1" applyFill="1" applyBorder="1" applyAlignment="1" applyProtection="1">
      <alignment horizontal="right"/>
      <protection/>
    </xf>
    <xf numFmtId="0" fontId="0" fillId="3" borderId="6" xfId="20" applyFont="1" applyFill="1" applyBorder="1" applyAlignment="1" applyProtection="1">
      <alignment horizontal="centerContinuous"/>
      <protection/>
    </xf>
    <xf numFmtId="0" fontId="0" fillId="3" borderId="0" xfId="20" applyFont="1" applyFill="1" applyAlignment="1" applyProtection="1">
      <alignment horizontal="centerContinuous"/>
      <protection/>
    </xf>
    <xf numFmtId="37" fontId="0" fillId="3" borderId="6" xfId="25" applyNumberFormat="1" applyFont="1" applyFill="1" applyBorder="1" applyAlignment="1" applyProtection="1">
      <alignment/>
      <protection/>
    </xf>
    <xf numFmtId="37" fontId="0" fillId="3" borderId="7" xfId="25" applyNumberFormat="1" applyFont="1" applyFill="1" applyBorder="1" applyAlignment="1" applyProtection="1">
      <alignment/>
      <protection/>
    </xf>
    <xf numFmtId="0" fontId="16" fillId="3" borderId="1" xfId="20" applyFont="1" applyFill="1" applyBorder="1" applyAlignment="1" applyProtection="1">
      <alignment horizontal="center"/>
      <protection/>
    </xf>
    <xf numFmtId="0" fontId="16" fillId="3" borderId="6" xfId="20" applyFont="1" applyFill="1" applyBorder="1" applyAlignment="1" applyProtection="1">
      <alignment horizontal="centerContinuous"/>
      <protection/>
    </xf>
    <xf numFmtId="0" fontId="0" fillId="3" borderId="4" xfId="20" applyFont="1" applyFill="1" applyBorder="1" applyAlignment="1" applyProtection="1">
      <alignment horizontal="centerContinuous"/>
      <protection/>
    </xf>
    <xf numFmtId="171" fontId="0" fillId="3" borderId="8" xfId="25" applyFont="1" applyFill="1" applyBorder="1" applyAlignment="1" applyProtection="1">
      <alignment/>
      <protection/>
    </xf>
    <xf numFmtId="207" fontId="0" fillId="3" borderId="1" xfId="21" applyNumberFormat="1" applyFont="1" applyFill="1" applyBorder="1" applyAlignment="1" applyProtection="1">
      <alignment horizontal="center"/>
      <protection/>
    </xf>
    <xf numFmtId="207" fontId="0" fillId="3" borderId="9" xfId="21" applyNumberFormat="1" applyFont="1" applyFill="1" applyBorder="1" applyAlignment="1" applyProtection="1">
      <alignment horizontal="center"/>
      <protection/>
    </xf>
    <xf numFmtId="171" fontId="0" fillId="3" borderId="9" xfId="25" applyFont="1" applyFill="1" applyBorder="1" applyAlignment="1" applyProtection="1">
      <alignment/>
      <protection/>
    </xf>
    <xf numFmtId="198" fontId="3" fillId="0" borderId="0" xfId="19" applyBorder="1" applyProtection="1">
      <alignment/>
      <protection hidden="1"/>
    </xf>
    <xf numFmtId="198" fontId="21" fillId="0" borderId="0" xfId="19" applyFont="1">
      <alignment/>
      <protection/>
    </xf>
    <xf numFmtId="201" fontId="14" fillId="0" borderId="0" xfId="19" applyNumberFormat="1" applyFont="1" applyFill="1" applyBorder="1" applyAlignment="1" applyProtection="1">
      <alignment horizontal="centerContinuous"/>
      <protection/>
    </xf>
    <xf numFmtId="201" fontId="12" fillId="0" borderId="0" xfId="19" applyNumberFormat="1" applyFont="1" applyFill="1" applyBorder="1" applyProtection="1">
      <alignment/>
      <protection/>
    </xf>
    <xf numFmtId="204" fontId="12" fillId="0" borderId="0" xfId="19" applyNumberFormat="1" applyFont="1" applyFill="1" applyBorder="1" applyProtection="1">
      <alignment/>
      <protection/>
    </xf>
    <xf numFmtId="201" fontId="12" fillId="0" borderId="0" xfId="19" applyNumberFormat="1" applyFont="1" applyFill="1" applyProtection="1">
      <alignment/>
      <protection/>
    </xf>
    <xf numFmtId="204" fontId="12" fillId="0" borderId="0" xfId="19" applyNumberFormat="1" applyFont="1" applyFill="1" applyProtection="1">
      <alignment/>
      <protection/>
    </xf>
    <xf numFmtId="201" fontId="13" fillId="0" borderId="0" xfId="19" applyNumberFormat="1" applyFont="1" applyFill="1" applyAlignment="1" applyProtection="1">
      <alignment horizontal="left"/>
      <protection/>
    </xf>
    <xf numFmtId="201" fontId="12" fillId="3" borderId="10" xfId="19" applyNumberFormat="1" applyFont="1" applyFill="1" applyBorder="1" applyAlignment="1" applyProtection="1">
      <alignment horizontal="left"/>
      <protection/>
    </xf>
    <xf numFmtId="201" fontId="12" fillId="3" borderId="11" xfId="19" applyNumberFormat="1" applyFont="1" applyFill="1" applyBorder="1" applyAlignment="1" applyProtection="1">
      <alignment horizontal="left"/>
      <protection/>
    </xf>
    <xf numFmtId="201" fontId="12" fillId="3" borderId="12" xfId="19" applyNumberFormat="1" applyFont="1" applyFill="1" applyBorder="1" applyAlignment="1" applyProtection="1">
      <alignment horizontal="left"/>
      <protection/>
    </xf>
    <xf numFmtId="204" fontId="13" fillId="3" borderId="13" xfId="19" applyNumberFormat="1" applyFont="1" applyFill="1" applyBorder="1" applyProtection="1">
      <alignment/>
      <protection/>
    </xf>
    <xf numFmtId="201" fontId="13" fillId="3" borderId="13" xfId="19" applyNumberFormat="1" applyFont="1" applyFill="1" applyBorder="1" applyProtection="1">
      <alignment/>
      <protection/>
    </xf>
    <xf numFmtId="201" fontId="13" fillId="3" borderId="14" xfId="19" applyNumberFormat="1" applyFont="1" applyFill="1" applyBorder="1" applyProtection="1">
      <alignment/>
      <protection/>
    </xf>
    <xf numFmtId="204" fontId="13" fillId="3" borderId="15" xfId="19" applyNumberFormat="1" applyFont="1" applyFill="1" applyBorder="1" applyProtection="1">
      <alignment/>
      <protection/>
    </xf>
    <xf numFmtId="201" fontId="13" fillId="3" borderId="15" xfId="19" applyNumberFormat="1" applyFont="1" applyFill="1" applyBorder="1" applyProtection="1">
      <alignment/>
      <protection/>
    </xf>
    <xf numFmtId="201" fontId="13" fillId="3" borderId="16" xfId="19" applyNumberFormat="1" applyFont="1" applyFill="1" applyBorder="1" applyProtection="1">
      <alignment/>
      <protection/>
    </xf>
    <xf numFmtId="201" fontId="12" fillId="3" borderId="17" xfId="19" applyNumberFormat="1" applyFont="1" applyFill="1" applyBorder="1" applyAlignment="1" applyProtection="1">
      <alignment horizontal="center"/>
      <protection/>
    </xf>
    <xf numFmtId="204" fontId="12" fillId="3" borderId="18" xfId="19" applyNumberFormat="1" applyFont="1" applyFill="1" applyBorder="1" applyProtection="1">
      <alignment/>
      <protection/>
    </xf>
    <xf numFmtId="201" fontId="12" fillId="3" borderId="18" xfId="19" applyNumberFormat="1" applyFont="1" applyFill="1" applyBorder="1" applyProtection="1">
      <alignment/>
      <protection/>
    </xf>
    <xf numFmtId="201" fontId="12" fillId="3" borderId="19" xfId="19" applyNumberFormat="1" applyFont="1" applyFill="1" applyBorder="1" applyProtection="1">
      <alignment/>
      <protection/>
    </xf>
    <xf numFmtId="201" fontId="12" fillId="3" borderId="20" xfId="19" applyNumberFormat="1" applyFont="1" applyFill="1" applyBorder="1" applyProtection="1">
      <alignment/>
      <protection/>
    </xf>
    <xf numFmtId="204" fontId="13" fillId="3" borderId="1" xfId="19" applyNumberFormat="1" applyFont="1" applyFill="1" applyBorder="1" applyProtection="1">
      <alignment/>
      <protection/>
    </xf>
    <xf numFmtId="204" fontId="13" fillId="3" borderId="21" xfId="19" applyNumberFormat="1" applyFont="1" applyFill="1" applyBorder="1" applyProtection="1">
      <alignment/>
      <protection/>
    </xf>
    <xf numFmtId="201" fontId="12" fillId="3" borderId="19" xfId="19" applyNumberFormat="1" applyFont="1" applyFill="1" applyBorder="1" applyAlignment="1" applyProtection="1">
      <alignment horizontal="center"/>
      <protection/>
    </xf>
    <xf numFmtId="201" fontId="12" fillId="3" borderId="20" xfId="19" applyNumberFormat="1" applyFont="1" applyFill="1" applyBorder="1" applyAlignment="1" applyProtection="1">
      <alignment horizontal="center"/>
      <protection/>
    </xf>
    <xf numFmtId="198" fontId="3" fillId="0" borderId="0" xfId="19" applyFont="1">
      <alignment/>
      <protection/>
    </xf>
    <xf numFmtId="208" fontId="3" fillId="0" borderId="0" xfId="22" applyNumberFormat="1" applyFont="1" applyAlignment="1">
      <alignment/>
    </xf>
    <xf numFmtId="0" fontId="33" fillId="3" borderId="1" xfId="20" applyFont="1" applyFill="1" applyBorder="1" applyAlignment="1" applyProtection="1">
      <alignment horizontal="center"/>
      <protection/>
    </xf>
    <xf numFmtId="171" fontId="34" fillId="3" borderId="8" xfId="25" applyFont="1" applyFill="1" applyBorder="1" applyAlignment="1" applyProtection="1">
      <alignment/>
      <protection/>
    </xf>
    <xf numFmtId="207" fontId="34" fillId="3" borderId="1" xfId="21" applyNumberFormat="1" applyFont="1" applyFill="1" applyBorder="1" applyAlignment="1" applyProtection="1">
      <alignment horizontal="center"/>
      <protection/>
    </xf>
    <xf numFmtId="207" fontId="34" fillId="3" borderId="9" xfId="21" applyNumberFormat="1" applyFont="1" applyFill="1" applyBorder="1" applyAlignment="1" applyProtection="1">
      <alignment horizontal="center"/>
      <protection/>
    </xf>
    <xf numFmtId="198" fontId="3" fillId="0" borderId="0" xfId="19" applyFont="1" applyProtection="1">
      <alignment/>
      <protection hidden="1"/>
    </xf>
    <xf numFmtId="198" fontId="3" fillId="4" borderId="0" xfId="19" applyFill="1">
      <alignment/>
      <protection/>
    </xf>
    <xf numFmtId="198" fontId="3" fillId="4" borderId="0" xfId="19" applyFill="1" applyAlignment="1" applyProtection="1">
      <alignment horizontal="centerContinuous"/>
      <protection hidden="1"/>
    </xf>
    <xf numFmtId="198" fontId="39" fillId="0" borderId="0" xfId="19" applyFont="1" applyProtection="1">
      <alignment/>
      <protection hidden="1"/>
    </xf>
    <xf numFmtId="198" fontId="3" fillId="0" borderId="0" xfId="19" applyFont="1" applyProtection="1">
      <alignment/>
      <protection hidden="1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5" borderId="0" xfId="0" applyFont="1" applyFill="1" applyBorder="1" applyAlignment="1">
      <alignment horizontal="center"/>
    </xf>
    <xf numFmtId="198" fontId="42" fillId="4" borderId="0" xfId="19" applyFont="1" applyFill="1">
      <alignment/>
      <protection/>
    </xf>
    <xf numFmtId="198" fontId="46" fillId="4" borderId="0" xfId="19" applyFont="1" applyFill="1">
      <alignment/>
      <protection/>
    </xf>
    <xf numFmtId="198" fontId="47" fillId="4" borderId="0" xfId="19" applyFont="1" applyFill="1">
      <alignment/>
      <protection/>
    </xf>
    <xf numFmtId="198" fontId="48" fillId="4" borderId="0" xfId="19" applyFont="1" applyFill="1" applyAlignment="1">
      <alignment horizontal="center"/>
      <protection/>
    </xf>
    <xf numFmtId="198" fontId="42" fillId="0" borderId="0" xfId="19" applyFont="1">
      <alignment/>
      <protection/>
    </xf>
    <xf numFmtId="198" fontId="42" fillId="6" borderId="0" xfId="19" applyFont="1" applyFill="1" applyProtection="1">
      <alignment/>
      <protection hidden="1"/>
    </xf>
    <xf numFmtId="201" fontId="49" fillId="6" borderId="0" xfId="19" applyNumberFormat="1" applyFont="1" applyFill="1" applyProtection="1">
      <alignment/>
      <protection hidden="1"/>
    </xf>
    <xf numFmtId="201" fontId="49" fillId="6" borderId="0" xfId="19" applyNumberFormat="1" applyFont="1" applyFill="1" applyBorder="1" applyProtection="1">
      <alignment/>
      <protection hidden="1"/>
    </xf>
    <xf numFmtId="198" fontId="42" fillId="6" borderId="0" xfId="19" applyFont="1" applyFill="1">
      <alignment/>
      <protection/>
    </xf>
    <xf numFmtId="201" fontId="50" fillId="6" borderId="0" xfId="19" applyNumberFormat="1" applyFont="1" applyFill="1" applyAlignment="1" applyProtection="1">
      <alignment horizontal="centerContinuous"/>
      <protection hidden="1"/>
    </xf>
    <xf numFmtId="201" fontId="50" fillId="6" borderId="0" xfId="19" applyNumberFormat="1" applyFont="1" applyFill="1" applyBorder="1" applyAlignment="1" applyProtection="1">
      <alignment horizontal="centerContinuous"/>
      <protection hidden="1"/>
    </xf>
    <xf numFmtId="201" fontId="51" fillId="6" borderId="0" xfId="19" applyNumberFormat="1" applyFont="1" applyFill="1" applyAlignment="1" applyProtection="1">
      <alignment horizontal="centerContinuous"/>
      <protection hidden="1"/>
    </xf>
    <xf numFmtId="201" fontId="52" fillId="6" borderId="0" xfId="15" applyNumberFormat="1" applyFont="1" applyFill="1" applyAlignment="1" applyProtection="1">
      <alignment/>
      <protection/>
    </xf>
    <xf numFmtId="201" fontId="49" fillId="6" borderId="0" xfId="19" applyNumberFormat="1" applyFont="1" applyFill="1" applyProtection="1">
      <alignment/>
      <protection/>
    </xf>
    <xf numFmtId="198" fontId="43" fillId="6" borderId="0" xfId="19" applyFont="1" applyFill="1" applyProtection="1">
      <alignment/>
      <protection hidden="1"/>
    </xf>
    <xf numFmtId="198" fontId="45" fillId="4" borderId="0" xfId="15" applyFont="1" applyFill="1" applyAlignment="1">
      <alignment horizontal="left"/>
    </xf>
    <xf numFmtId="198" fontId="3" fillId="4" borderId="0" xfId="19" applyFill="1" applyAlignment="1">
      <alignment horizontal="left"/>
      <protection/>
    </xf>
    <xf numFmtId="198" fontId="54" fillId="6" borderId="0" xfId="19" applyFont="1" applyFill="1">
      <alignment/>
      <protection/>
    </xf>
    <xf numFmtId="201" fontId="52" fillId="6" borderId="0" xfId="19" applyNumberFormat="1" applyFont="1" applyFill="1" applyAlignment="1" applyProtection="1">
      <alignment horizontal="center"/>
      <protection hidden="1"/>
    </xf>
    <xf numFmtId="198" fontId="54" fillId="6" borderId="0" xfId="19" applyFont="1" applyFill="1" applyAlignment="1" applyProtection="1">
      <alignment horizontal="centerContinuous"/>
      <protection hidden="1"/>
    </xf>
    <xf numFmtId="198" fontId="54" fillId="6" borderId="0" xfId="19" applyFont="1" applyFill="1" applyAlignment="1" applyProtection="1">
      <alignment horizontal="right"/>
      <protection hidden="1"/>
    </xf>
    <xf numFmtId="198" fontId="54" fillId="6" borderId="0" xfId="19" applyFont="1" applyFill="1" applyAlignment="1" applyProtection="1">
      <alignment horizontal="center"/>
      <protection hidden="1"/>
    </xf>
    <xf numFmtId="198" fontId="53" fillId="6" borderId="0" xfId="19" applyFont="1" applyFill="1" applyAlignment="1" applyProtection="1">
      <alignment/>
      <protection hidden="1"/>
    </xf>
    <xf numFmtId="0" fontId="57" fillId="0" borderId="0" xfId="15" applyFont="1" applyAlignment="1">
      <alignment horizontal="center"/>
    </xf>
    <xf numFmtId="0" fontId="57" fillId="0" borderId="0" xfId="15" applyFont="1" applyFill="1" applyBorder="1" applyAlignment="1">
      <alignment/>
    </xf>
    <xf numFmtId="201" fontId="49" fillId="0" borderId="0" xfId="19" applyNumberFormat="1" applyFont="1" applyFill="1" applyProtection="1">
      <alignment/>
      <protection hidden="1"/>
    </xf>
    <xf numFmtId="201" fontId="56" fillId="3" borderId="17" xfId="19" applyNumberFormat="1" applyFont="1" applyFill="1" applyBorder="1" applyAlignment="1" applyProtection="1">
      <alignment horizontal="center"/>
      <protection hidden="1"/>
    </xf>
    <xf numFmtId="201" fontId="49" fillId="0" borderId="0" xfId="19" applyNumberFormat="1" applyFont="1" applyFill="1" applyBorder="1" applyAlignment="1" applyProtection="1">
      <alignment/>
      <protection hidden="1"/>
    </xf>
    <xf numFmtId="201" fontId="42" fillId="0" borderId="0" xfId="19" applyNumberFormat="1" applyFont="1" applyFill="1" applyBorder="1" applyAlignment="1" applyProtection="1">
      <alignment horizontal="left"/>
      <protection hidden="1"/>
    </xf>
    <xf numFmtId="201" fontId="56" fillId="3" borderId="17" xfId="19" applyNumberFormat="1" applyFont="1" applyFill="1" applyBorder="1" applyAlignment="1" applyProtection="1">
      <alignment/>
      <protection hidden="1"/>
    </xf>
    <xf numFmtId="201" fontId="57" fillId="0" borderId="0" xfId="15" applyNumberFormat="1" applyFont="1" applyFill="1" applyBorder="1" applyAlignment="1" applyProtection="1">
      <alignment horizontal="left"/>
      <protection hidden="1"/>
    </xf>
    <xf numFmtId="201" fontId="56" fillId="3" borderId="0" xfId="19" applyNumberFormat="1" applyFont="1" applyFill="1" applyBorder="1" applyAlignment="1" applyProtection="1">
      <alignment horizontal="center" wrapText="1"/>
      <protection hidden="1"/>
    </xf>
    <xf numFmtId="0" fontId="42" fillId="3" borderId="0" xfId="0" applyFont="1" applyFill="1" applyAlignment="1">
      <alignment/>
    </xf>
    <xf numFmtId="0" fontId="42" fillId="3" borderId="0" xfId="0" applyFont="1" applyFill="1" applyBorder="1" applyAlignment="1">
      <alignment/>
    </xf>
    <xf numFmtId="0" fontId="55" fillId="3" borderId="0" xfId="0" applyFont="1" applyFill="1" applyBorder="1" applyAlignment="1">
      <alignment/>
    </xf>
    <xf numFmtId="0" fontId="4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5" fillId="3" borderId="0" xfId="0" applyFont="1" applyFill="1" applyBorder="1" applyAlignment="1">
      <alignment/>
    </xf>
    <xf numFmtId="201" fontId="55" fillId="0" borderId="0" xfId="19" applyNumberFormat="1" applyFont="1" applyFill="1" applyProtection="1">
      <alignment/>
      <protection hidden="1"/>
    </xf>
    <xf numFmtId="201" fontId="42" fillId="0" borderId="0" xfId="19" applyNumberFormat="1" applyFont="1" applyFill="1" applyProtection="1">
      <alignment/>
      <protection hidden="1"/>
    </xf>
    <xf numFmtId="201" fontId="55" fillId="3" borderId="17" xfId="19" applyNumberFormat="1" applyFont="1" applyFill="1" applyBorder="1" applyAlignment="1" applyProtection="1">
      <alignment/>
      <protection hidden="1"/>
    </xf>
    <xf numFmtId="201" fontId="55" fillId="3" borderId="22" xfId="19" applyNumberFormat="1" applyFont="1" applyFill="1" applyBorder="1" applyAlignment="1" applyProtection="1">
      <alignment horizontal="center" wrapText="1"/>
      <protection hidden="1"/>
    </xf>
    <xf numFmtId="201" fontId="55" fillId="3" borderId="18" xfId="19" applyNumberFormat="1" applyFont="1" applyFill="1" applyBorder="1" applyAlignment="1" applyProtection="1">
      <alignment horizontal="center" wrapText="1"/>
      <protection hidden="1"/>
    </xf>
    <xf numFmtId="201" fontId="55" fillId="3" borderId="23" xfId="19" applyNumberFormat="1" applyFont="1" applyFill="1" applyBorder="1" applyAlignment="1" applyProtection="1">
      <alignment horizontal="center"/>
      <protection hidden="1"/>
    </xf>
    <xf numFmtId="198" fontId="3" fillId="3" borderId="0" xfId="19" applyFill="1">
      <alignment/>
      <protection/>
    </xf>
    <xf numFmtId="201" fontId="42" fillId="0" borderId="0" xfId="19" applyNumberFormat="1" applyFont="1" applyFill="1" applyBorder="1" applyAlignment="1" applyProtection="1">
      <alignment/>
      <protection hidden="1"/>
    </xf>
    <xf numFmtId="201" fontId="56" fillId="0" borderId="0" xfId="19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/>
    </xf>
    <xf numFmtId="198" fontId="3" fillId="0" borderId="0" xfId="19" applyFill="1" applyBorder="1">
      <alignment/>
      <protection/>
    </xf>
    <xf numFmtId="201" fontId="55" fillId="0" borderId="0" xfId="19" applyNumberFormat="1" applyFont="1" applyFill="1" applyBorder="1" applyAlignment="1" applyProtection="1">
      <alignment horizontal="center" wrapText="1"/>
      <protection hidden="1"/>
    </xf>
    <xf numFmtId="198" fontId="42" fillId="0" borderId="0" xfId="19" applyFont="1" applyFill="1">
      <alignment/>
      <protection/>
    </xf>
    <xf numFmtId="201" fontId="59" fillId="0" borderId="0" xfId="19" applyNumberFormat="1" applyFont="1" applyFill="1" applyBorder="1" applyAlignment="1" applyProtection="1">
      <alignment horizontal="centerContinuous"/>
      <protection hidden="1"/>
    </xf>
    <xf numFmtId="198" fontId="42" fillId="0" borderId="0" xfId="19" applyFont="1" applyProtection="1">
      <alignment/>
      <protection hidden="1"/>
    </xf>
    <xf numFmtId="201" fontId="56" fillId="3" borderId="24" xfId="19" applyNumberFormat="1" applyFont="1" applyFill="1" applyBorder="1" applyAlignment="1" applyProtection="1">
      <alignment/>
      <protection hidden="1"/>
    </xf>
    <xf numFmtId="201" fontId="56" fillId="3" borderId="25" xfId="19" applyNumberFormat="1" applyFont="1" applyFill="1" applyBorder="1" applyProtection="1">
      <alignment/>
      <protection hidden="1"/>
    </xf>
    <xf numFmtId="201" fontId="56" fillId="3" borderId="26" xfId="19" applyNumberFormat="1" applyFont="1" applyFill="1" applyBorder="1" applyAlignment="1" applyProtection="1">
      <alignment horizontal="center"/>
      <protection hidden="1"/>
    </xf>
    <xf numFmtId="201" fontId="56" fillId="3" borderId="27" xfId="19" applyNumberFormat="1" applyFont="1" applyFill="1" applyBorder="1" applyAlignment="1" applyProtection="1">
      <alignment horizontal="center"/>
      <protection hidden="1"/>
    </xf>
    <xf numFmtId="201" fontId="49" fillId="3" borderId="26" xfId="19" applyNumberFormat="1" applyFont="1" applyFill="1" applyBorder="1" applyAlignment="1" applyProtection="1">
      <alignment horizontal="center"/>
      <protection hidden="1"/>
    </xf>
    <xf numFmtId="201" fontId="49" fillId="3" borderId="26" xfId="19" applyNumberFormat="1" applyFont="1" applyFill="1" applyBorder="1" applyProtection="1">
      <alignment/>
      <protection hidden="1"/>
    </xf>
    <xf numFmtId="0" fontId="56" fillId="3" borderId="26" xfId="19" applyNumberFormat="1" applyFont="1" applyFill="1" applyBorder="1" applyAlignment="1" applyProtection="1">
      <alignment horizontal="center"/>
      <protection hidden="1"/>
    </xf>
    <xf numFmtId="201" fontId="49" fillId="3" borderId="28" xfId="19" applyNumberFormat="1" applyFont="1" applyFill="1" applyBorder="1" applyAlignment="1" applyProtection="1">
      <alignment horizontal="center"/>
      <protection hidden="1"/>
    </xf>
    <xf numFmtId="201" fontId="49" fillId="2" borderId="28" xfId="19" applyNumberFormat="1" applyFont="1" applyFill="1" applyBorder="1" applyProtection="1">
      <alignment/>
      <protection hidden="1" locked="0"/>
    </xf>
    <xf numFmtId="204" fontId="49" fillId="2" borderId="28" xfId="19" applyNumberFormat="1" applyFont="1" applyFill="1" applyBorder="1" applyAlignment="1" applyProtection="1">
      <alignment horizontal="center"/>
      <protection hidden="1" locked="0"/>
    </xf>
    <xf numFmtId="201" fontId="56" fillId="3" borderId="29" xfId="19" applyNumberFormat="1" applyFont="1" applyFill="1" applyBorder="1" applyAlignment="1" applyProtection="1">
      <alignment horizontal="center"/>
      <protection hidden="1"/>
    </xf>
    <xf numFmtId="204" fontId="56" fillId="3" borderId="20" xfId="19" applyNumberFormat="1" applyFont="1" applyFill="1" applyBorder="1" applyAlignment="1" applyProtection="1">
      <alignment horizontal="center"/>
      <protection hidden="1" locked="0"/>
    </xf>
    <xf numFmtId="201" fontId="49" fillId="0" borderId="0" xfId="19" applyNumberFormat="1" applyFont="1" applyFill="1" applyBorder="1" applyProtection="1">
      <alignment/>
      <protection hidden="1"/>
    </xf>
    <xf numFmtId="0" fontId="49" fillId="2" borderId="28" xfId="19" applyNumberFormat="1" applyFont="1" applyFill="1" applyBorder="1" applyAlignment="1" applyProtection="1">
      <alignment horizontal="center"/>
      <protection hidden="1" locked="0"/>
    </xf>
    <xf numFmtId="201" fontId="42" fillId="0" borderId="0" xfId="19" applyNumberFormat="1" applyFont="1" applyFill="1" applyAlignment="1" applyProtection="1">
      <alignment horizontal="left"/>
      <protection hidden="1"/>
    </xf>
    <xf numFmtId="204" fontId="56" fillId="3" borderId="20" xfId="19" applyNumberFormat="1" applyFont="1" applyFill="1" applyBorder="1" applyAlignment="1" applyProtection="1">
      <alignment horizontal="center"/>
      <protection hidden="1"/>
    </xf>
    <xf numFmtId="201" fontId="61" fillId="0" borderId="0" xfId="19" applyNumberFormat="1" applyFont="1" applyFill="1" applyBorder="1" applyProtection="1">
      <alignment/>
      <protection hidden="1"/>
    </xf>
    <xf numFmtId="201" fontId="62" fillId="0" borderId="0" xfId="19" applyNumberFormat="1" applyFont="1" applyFill="1" applyBorder="1" applyAlignment="1" applyProtection="1">
      <alignment horizontal="centerContinuous"/>
      <protection hidden="1"/>
    </xf>
    <xf numFmtId="201" fontId="56" fillId="3" borderId="30" xfId="19" applyNumberFormat="1" applyFont="1" applyFill="1" applyBorder="1" applyAlignment="1" applyProtection="1">
      <alignment horizontal="center"/>
      <protection hidden="1"/>
    </xf>
    <xf numFmtId="201" fontId="56" fillId="3" borderId="30" xfId="19" applyNumberFormat="1" applyFont="1" applyFill="1" applyBorder="1" applyAlignment="1" applyProtection="1">
      <alignment/>
      <protection hidden="1"/>
    </xf>
    <xf numFmtId="201" fontId="49" fillId="3" borderId="31" xfId="19" applyNumberFormat="1" applyFont="1" applyFill="1" applyBorder="1" applyProtection="1">
      <alignment/>
      <protection hidden="1"/>
    </xf>
    <xf numFmtId="201" fontId="56" fillId="3" borderId="25" xfId="19" applyNumberFormat="1" applyFont="1" applyFill="1" applyBorder="1" applyAlignment="1" applyProtection="1">
      <alignment horizontal="center"/>
      <protection hidden="1"/>
    </xf>
    <xf numFmtId="201" fontId="56" fillId="3" borderId="30" xfId="19" applyNumberFormat="1" applyFont="1" applyFill="1" applyBorder="1" applyAlignment="1" applyProtection="1">
      <alignment horizontal="left"/>
      <protection hidden="1"/>
    </xf>
    <xf numFmtId="198" fontId="3" fillId="3" borderId="0" xfId="19" applyFill="1" applyProtection="1">
      <alignment/>
      <protection hidden="1"/>
    </xf>
    <xf numFmtId="201" fontId="56" fillId="3" borderId="1" xfId="19" applyNumberFormat="1" applyFont="1" applyFill="1" applyBorder="1" applyAlignment="1" applyProtection="1">
      <alignment horizontal="center"/>
      <protection hidden="1"/>
    </xf>
    <xf numFmtId="201" fontId="49" fillId="2" borderId="1" xfId="19" applyNumberFormat="1" applyFont="1" applyFill="1" applyBorder="1" applyProtection="1">
      <alignment/>
      <protection hidden="1" locked="0"/>
    </xf>
    <xf numFmtId="201" fontId="49" fillId="3" borderId="1" xfId="19" applyNumberFormat="1" applyFont="1" applyFill="1" applyBorder="1" applyProtection="1">
      <alignment/>
      <protection hidden="1"/>
    </xf>
    <xf numFmtId="204" fontId="56" fillId="3" borderId="2" xfId="19" applyNumberFormat="1" applyFont="1" applyFill="1" applyBorder="1" applyProtection="1">
      <alignment/>
      <protection hidden="1"/>
    </xf>
    <xf numFmtId="201" fontId="56" fillId="3" borderId="2" xfId="19" applyNumberFormat="1" applyFont="1" applyFill="1" applyBorder="1" applyProtection="1">
      <alignment/>
      <protection hidden="1"/>
    </xf>
    <xf numFmtId="201" fontId="56" fillId="3" borderId="4" xfId="19" applyNumberFormat="1" applyFont="1" applyFill="1" applyBorder="1" applyProtection="1">
      <alignment/>
      <protection hidden="1"/>
    </xf>
    <xf numFmtId="201" fontId="56" fillId="3" borderId="1" xfId="19" applyNumberFormat="1" applyFont="1" applyFill="1" applyBorder="1" applyAlignment="1" applyProtection="1">
      <alignment horizontal="left"/>
      <protection hidden="1"/>
    </xf>
    <xf numFmtId="201" fontId="56" fillId="3" borderId="1" xfId="19" applyNumberFormat="1" applyFont="1" applyFill="1" applyBorder="1" applyAlignment="1" applyProtection="1">
      <alignment/>
      <protection hidden="1"/>
    </xf>
    <xf numFmtId="201" fontId="56" fillId="3" borderId="1" xfId="19" applyNumberFormat="1" applyFont="1" applyFill="1" applyBorder="1" applyProtection="1">
      <alignment/>
      <protection hidden="1"/>
    </xf>
    <xf numFmtId="201" fontId="49" fillId="0" borderId="0" xfId="19" applyNumberFormat="1" applyFont="1" applyFill="1" applyAlignment="1" applyProtection="1">
      <alignment horizontal="left"/>
      <protection hidden="1"/>
    </xf>
    <xf numFmtId="201" fontId="52" fillId="3" borderId="29" xfId="19" applyNumberFormat="1" applyFont="1" applyFill="1" applyBorder="1" applyAlignment="1" applyProtection="1">
      <alignment horizontal="centerContinuous"/>
      <protection hidden="1"/>
    </xf>
    <xf numFmtId="201" fontId="52" fillId="3" borderId="32" xfId="19" applyNumberFormat="1" applyFont="1" applyFill="1" applyBorder="1" applyAlignment="1" applyProtection="1">
      <alignment horizontal="centerContinuous"/>
      <protection hidden="1"/>
    </xf>
    <xf numFmtId="201" fontId="52" fillId="3" borderId="33" xfId="19" applyNumberFormat="1" applyFont="1" applyFill="1" applyBorder="1" applyAlignment="1" applyProtection="1">
      <alignment horizontal="centerContinuous"/>
      <protection hidden="1"/>
    </xf>
    <xf numFmtId="201" fontId="56" fillId="3" borderId="32" xfId="19" applyNumberFormat="1" applyFont="1" applyFill="1" applyBorder="1" applyAlignment="1" applyProtection="1">
      <alignment horizontal="centerContinuous"/>
      <protection hidden="1"/>
    </xf>
    <xf numFmtId="201" fontId="52" fillId="3" borderId="20" xfId="19" applyNumberFormat="1" applyFont="1" applyFill="1" applyBorder="1" applyAlignment="1" applyProtection="1">
      <alignment horizontal="center"/>
      <protection hidden="1"/>
    </xf>
    <xf numFmtId="201" fontId="49" fillId="3" borderId="30" xfId="19" applyNumberFormat="1" applyFont="1" applyFill="1" applyBorder="1" applyAlignment="1" applyProtection="1">
      <alignment/>
      <protection hidden="1"/>
    </xf>
    <xf numFmtId="201" fontId="49" fillId="3" borderId="34" xfId="19" applyNumberFormat="1" applyFont="1" applyFill="1" applyBorder="1" applyProtection="1">
      <alignment/>
      <protection hidden="1"/>
    </xf>
    <xf numFmtId="201" fontId="49" fillId="3" borderId="24" xfId="19" applyNumberFormat="1" applyFont="1" applyFill="1" applyBorder="1" applyAlignment="1" applyProtection="1">
      <alignment horizontal="right"/>
      <protection hidden="1"/>
    </xf>
    <xf numFmtId="201" fontId="49" fillId="3" borderId="35" xfId="19" applyNumberFormat="1" applyFont="1" applyFill="1" applyBorder="1" applyAlignment="1" applyProtection="1">
      <alignment/>
      <protection hidden="1"/>
    </xf>
    <xf numFmtId="201" fontId="49" fillId="3" borderId="36" xfId="19" applyNumberFormat="1" applyFont="1" applyFill="1" applyBorder="1" applyProtection="1">
      <alignment/>
      <protection hidden="1"/>
    </xf>
    <xf numFmtId="201" fontId="49" fillId="3" borderId="26" xfId="19" applyNumberFormat="1" applyFont="1" applyFill="1" applyBorder="1" applyAlignment="1" applyProtection="1">
      <alignment horizontal="right"/>
      <protection hidden="1"/>
    </xf>
    <xf numFmtId="201" fontId="60" fillId="0" borderId="0" xfId="15" applyNumberFormat="1" applyFont="1" applyFill="1" applyAlignment="1" applyProtection="1">
      <alignment horizontal="center"/>
      <protection hidden="1"/>
    </xf>
    <xf numFmtId="9" fontId="49" fillId="7" borderId="0" xfId="21" applyFont="1" applyFill="1" applyBorder="1" applyAlignment="1" applyProtection="1">
      <alignment/>
      <protection hidden="1"/>
    </xf>
    <xf numFmtId="201" fontId="49" fillId="7" borderId="0" xfId="19" applyNumberFormat="1" applyFont="1" applyFill="1" applyBorder="1" applyProtection="1">
      <alignment/>
      <protection hidden="1"/>
    </xf>
    <xf numFmtId="9" fontId="49" fillId="3" borderId="6" xfId="21" applyFont="1" applyFill="1" applyBorder="1" applyAlignment="1" applyProtection="1">
      <alignment horizontal="centerContinuous"/>
      <protection hidden="1"/>
    </xf>
    <xf numFmtId="201" fontId="56" fillId="3" borderId="6" xfId="19" applyNumberFormat="1" applyFont="1" applyFill="1" applyBorder="1" applyAlignment="1" applyProtection="1">
      <alignment horizontal="centerContinuous"/>
      <protection hidden="1"/>
    </xf>
    <xf numFmtId="201" fontId="49" fillId="3" borderId="6" xfId="19" applyNumberFormat="1" applyFont="1" applyFill="1" applyBorder="1" applyAlignment="1" applyProtection="1">
      <alignment horizontal="centerContinuous"/>
      <protection hidden="1"/>
    </xf>
    <xf numFmtId="198" fontId="47" fillId="0" borderId="0" xfId="19" applyFont="1" applyProtection="1">
      <alignment/>
      <protection hidden="1"/>
    </xf>
    <xf numFmtId="201" fontId="49" fillId="3" borderId="37" xfId="19" applyNumberFormat="1" applyFont="1" applyFill="1" applyBorder="1" applyProtection="1">
      <alignment/>
      <protection hidden="1"/>
    </xf>
    <xf numFmtId="201" fontId="49" fillId="3" borderId="38" xfId="19" applyNumberFormat="1" applyFont="1" applyFill="1" applyBorder="1" applyProtection="1">
      <alignment/>
      <protection hidden="1"/>
    </xf>
    <xf numFmtId="201" fontId="49" fillId="3" borderId="39" xfId="19" applyNumberFormat="1" applyFont="1" applyFill="1" applyBorder="1" applyAlignment="1" applyProtection="1">
      <alignment horizontal="right"/>
      <protection hidden="1"/>
    </xf>
    <xf numFmtId="201" fontId="56" fillId="3" borderId="18" xfId="19" applyNumberFormat="1" applyFont="1" applyFill="1" applyBorder="1" applyProtection="1">
      <alignment/>
      <protection hidden="1"/>
    </xf>
    <xf numFmtId="9" fontId="56" fillId="3" borderId="40" xfId="21" applyFont="1" applyFill="1" applyBorder="1" applyAlignment="1" applyProtection="1">
      <alignment horizontal="centerContinuous"/>
      <protection hidden="1"/>
    </xf>
    <xf numFmtId="201" fontId="56" fillId="3" borderId="41" xfId="19" applyNumberFormat="1" applyFont="1" applyFill="1" applyBorder="1" applyAlignment="1" applyProtection="1">
      <alignment horizontal="centerContinuous"/>
      <protection hidden="1"/>
    </xf>
    <xf numFmtId="201" fontId="56" fillId="3" borderId="22" xfId="19" applyNumberFormat="1" applyFont="1" applyFill="1" applyBorder="1" applyAlignment="1" applyProtection="1">
      <alignment horizontal="right"/>
      <protection hidden="1"/>
    </xf>
    <xf numFmtId="201" fontId="49" fillId="0" borderId="10" xfId="19" applyNumberFormat="1" applyFont="1" applyFill="1" applyBorder="1" applyProtection="1">
      <alignment/>
      <protection hidden="1"/>
    </xf>
    <xf numFmtId="201" fontId="59" fillId="0" borderId="11" xfId="19" applyNumberFormat="1" applyFont="1" applyFill="1" applyBorder="1" applyAlignment="1" applyProtection="1">
      <alignment horizontal="centerContinuous"/>
      <protection hidden="1"/>
    </xf>
    <xf numFmtId="201" fontId="49" fillId="0" borderId="11" xfId="19" applyNumberFormat="1" applyFont="1" applyFill="1" applyBorder="1" applyProtection="1">
      <alignment/>
      <protection hidden="1"/>
    </xf>
    <xf numFmtId="201" fontId="49" fillId="0" borderId="12" xfId="19" applyNumberFormat="1" applyFont="1" applyFill="1" applyBorder="1" applyProtection="1">
      <alignment/>
      <protection hidden="1"/>
    </xf>
    <xf numFmtId="201" fontId="56" fillId="3" borderId="10" xfId="19" applyNumberFormat="1" applyFont="1" applyFill="1" applyBorder="1" applyAlignment="1" applyProtection="1">
      <alignment/>
      <protection hidden="1"/>
    </xf>
    <xf numFmtId="201" fontId="56" fillId="3" borderId="11" xfId="19" applyNumberFormat="1" applyFont="1" applyFill="1" applyBorder="1" applyProtection="1">
      <alignment/>
      <protection hidden="1"/>
    </xf>
    <xf numFmtId="201" fontId="56" fillId="3" borderId="12" xfId="19" applyNumberFormat="1" applyFont="1" applyFill="1" applyBorder="1" applyProtection="1">
      <alignment/>
      <protection hidden="1"/>
    </xf>
    <xf numFmtId="201" fontId="56" fillId="3" borderId="42" xfId="19" applyNumberFormat="1" applyFont="1" applyFill="1" applyBorder="1" applyAlignment="1" applyProtection="1">
      <alignment horizontal="center"/>
      <protection hidden="1"/>
    </xf>
    <xf numFmtId="201" fontId="56" fillId="3" borderId="43" xfId="19" applyNumberFormat="1" applyFont="1" applyFill="1" applyBorder="1" applyAlignment="1" applyProtection="1">
      <alignment horizontal="center"/>
      <protection hidden="1"/>
    </xf>
    <xf numFmtId="201" fontId="49" fillId="3" borderId="42" xfId="19" applyNumberFormat="1" applyFont="1" applyFill="1" applyBorder="1" applyAlignment="1" applyProtection="1">
      <alignment/>
      <protection hidden="1"/>
    </xf>
    <xf numFmtId="201" fontId="49" fillId="3" borderId="43" xfId="19" applyNumberFormat="1" applyFont="1" applyFill="1" applyBorder="1" applyProtection="1">
      <alignment/>
      <protection hidden="1"/>
    </xf>
    <xf numFmtId="201" fontId="56" fillId="3" borderId="44" xfId="19" applyNumberFormat="1" applyFont="1" applyFill="1" applyBorder="1" applyAlignment="1" applyProtection="1">
      <alignment horizontal="center"/>
      <protection hidden="1"/>
    </xf>
    <xf numFmtId="201" fontId="56" fillId="3" borderId="9" xfId="19" applyNumberFormat="1" applyFont="1" applyFill="1" applyBorder="1" applyProtection="1">
      <alignment/>
      <protection hidden="1"/>
    </xf>
    <xf numFmtId="201" fontId="56" fillId="3" borderId="45" xfId="19" applyNumberFormat="1" applyFont="1" applyFill="1" applyBorder="1" applyProtection="1">
      <alignment/>
      <protection hidden="1"/>
    </xf>
    <xf numFmtId="201" fontId="56" fillId="0" borderId="46" xfId="19" applyNumberFormat="1" applyFont="1" applyFill="1" applyBorder="1" applyProtection="1">
      <alignment/>
      <protection hidden="1"/>
    </xf>
    <xf numFmtId="201" fontId="56" fillId="0" borderId="0" xfId="19" applyNumberFormat="1" applyFont="1" applyFill="1" applyBorder="1" applyProtection="1">
      <alignment/>
      <protection hidden="1"/>
    </xf>
    <xf numFmtId="201" fontId="56" fillId="0" borderId="47" xfId="19" applyNumberFormat="1" applyFont="1" applyFill="1" applyBorder="1" applyProtection="1">
      <alignment/>
      <protection hidden="1"/>
    </xf>
    <xf numFmtId="201" fontId="56" fillId="3" borderId="48" xfId="19" applyNumberFormat="1" applyFont="1" applyFill="1" applyBorder="1" applyAlignment="1" applyProtection="1">
      <alignment/>
      <protection hidden="1"/>
    </xf>
    <xf numFmtId="201" fontId="56" fillId="3" borderId="49" xfId="19" applyNumberFormat="1" applyFont="1" applyFill="1" applyBorder="1" applyProtection="1">
      <alignment/>
      <protection hidden="1"/>
    </xf>
    <xf numFmtId="201" fontId="56" fillId="3" borderId="50" xfId="19" applyNumberFormat="1" applyFont="1" applyFill="1" applyBorder="1" applyProtection="1">
      <alignment/>
      <protection hidden="1"/>
    </xf>
    <xf numFmtId="201" fontId="59" fillId="3" borderId="51" xfId="19" applyNumberFormat="1" applyFont="1" applyFill="1" applyBorder="1" applyAlignment="1" applyProtection="1">
      <alignment horizontal="centerContinuous"/>
      <protection hidden="1"/>
    </xf>
    <xf numFmtId="201" fontId="62" fillId="3" borderId="52" xfId="19" applyNumberFormat="1" applyFont="1" applyFill="1" applyBorder="1" applyAlignment="1" applyProtection="1">
      <alignment horizontal="centerContinuous"/>
      <protection hidden="1"/>
    </xf>
    <xf numFmtId="201" fontId="59" fillId="3" borderId="52" xfId="19" applyNumberFormat="1" applyFont="1" applyFill="1" applyBorder="1" applyAlignment="1" applyProtection="1">
      <alignment horizontal="centerContinuous"/>
      <protection hidden="1"/>
    </xf>
    <xf numFmtId="201" fontId="62" fillId="3" borderId="53" xfId="19" applyNumberFormat="1" applyFont="1" applyFill="1" applyBorder="1" applyAlignment="1" applyProtection="1">
      <alignment horizontal="centerContinuous"/>
      <protection hidden="1"/>
    </xf>
    <xf numFmtId="201" fontId="49" fillId="3" borderId="1" xfId="19" applyNumberFormat="1" applyFont="1" applyFill="1" applyBorder="1" applyAlignment="1" applyProtection="1">
      <alignment/>
      <protection hidden="1"/>
    </xf>
    <xf numFmtId="204" fontId="49" fillId="2" borderId="1" xfId="19" applyNumberFormat="1" applyFont="1" applyFill="1" applyBorder="1" applyAlignment="1" applyProtection="1">
      <alignment horizontal="center"/>
      <protection hidden="1" locked="0"/>
    </xf>
    <xf numFmtId="201" fontId="49" fillId="3" borderId="1" xfId="19" applyNumberFormat="1" applyFont="1" applyFill="1" applyBorder="1" applyAlignment="1" applyProtection="1">
      <alignment horizontal="center"/>
      <protection hidden="1"/>
    </xf>
    <xf numFmtId="201" fontId="49" fillId="3" borderId="1" xfId="19" applyNumberFormat="1" applyFont="1" applyFill="1" applyBorder="1" applyAlignment="1" applyProtection="1">
      <alignment horizontal="centerContinuous"/>
      <protection hidden="1"/>
    </xf>
    <xf numFmtId="201" fontId="42" fillId="3" borderId="8" xfId="19" applyNumberFormat="1" applyFont="1" applyFill="1" applyBorder="1" applyAlignment="1" applyProtection="1">
      <alignment horizontal="centerContinuous"/>
      <protection hidden="1"/>
    </xf>
    <xf numFmtId="201" fontId="49" fillId="3" borderId="21" xfId="19" applyNumberFormat="1" applyFont="1" applyFill="1" applyBorder="1" applyAlignment="1" applyProtection="1">
      <alignment horizontal="center"/>
      <protection hidden="1"/>
    </xf>
    <xf numFmtId="201" fontId="56" fillId="3" borderId="1" xfId="19" applyNumberFormat="1" applyFont="1" applyFill="1" applyBorder="1" applyAlignment="1" applyProtection="1">
      <alignment horizontal="centerContinuous"/>
      <protection hidden="1"/>
    </xf>
    <xf numFmtId="201" fontId="49" fillId="2" borderId="1" xfId="19" applyNumberFormat="1" applyFont="1" applyFill="1" applyBorder="1" applyAlignment="1" applyProtection="1">
      <alignment horizontal="center"/>
      <protection hidden="1" locked="0"/>
    </xf>
    <xf numFmtId="201" fontId="49" fillId="3" borderId="4" xfId="19" applyNumberFormat="1" applyFont="1" applyFill="1" applyBorder="1" applyProtection="1">
      <alignment/>
      <protection hidden="1"/>
    </xf>
    <xf numFmtId="0" fontId="42" fillId="8" borderId="0" xfId="0" applyFont="1" applyFill="1" applyAlignment="1">
      <alignment/>
    </xf>
    <xf numFmtId="0" fontId="42" fillId="8" borderId="0" xfId="0" applyFont="1" applyFill="1" applyBorder="1" applyAlignment="1">
      <alignment/>
    </xf>
    <xf numFmtId="201" fontId="56" fillId="8" borderId="0" xfId="19" applyNumberFormat="1" applyFont="1" applyFill="1" applyBorder="1" applyAlignment="1" applyProtection="1">
      <alignment horizontal="center" wrapText="1"/>
      <protection hidden="1"/>
    </xf>
    <xf numFmtId="198" fontId="3" fillId="8" borderId="0" xfId="19" applyFill="1">
      <alignment/>
      <protection/>
    </xf>
    <xf numFmtId="198" fontId="3" fillId="8" borderId="0" xfId="19" applyFill="1" applyProtection="1">
      <alignment/>
      <protection hidden="1"/>
    </xf>
    <xf numFmtId="0" fontId="0" fillId="8" borderId="0" xfId="0" applyFill="1" applyAlignment="1">
      <alignment/>
    </xf>
    <xf numFmtId="201" fontId="49" fillId="3" borderId="1" xfId="19" applyNumberFormat="1" applyFont="1" applyFill="1" applyBorder="1" applyAlignment="1" applyProtection="1">
      <alignment horizontal="right"/>
      <protection hidden="1" locked="0"/>
    </xf>
    <xf numFmtId="201" fontId="49" fillId="3" borderId="1" xfId="19" applyNumberFormat="1" applyFont="1" applyFill="1" applyBorder="1" applyAlignment="1" applyProtection="1">
      <alignment wrapText="1"/>
      <protection hidden="1"/>
    </xf>
    <xf numFmtId="0" fontId="57" fillId="0" borderId="0" xfId="15" applyFont="1" applyFill="1" applyBorder="1" applyAlignment="1">
      <alignment horizontal="center"/>
    </xf>
    <xf numFmtId="198" fontId="3" fillId="2" borderId="0" xfId="19" applyFill="1">
      <alignment/>
      <protection/>
    </xf>
    <xf numFmtId="198" fontId="52" fillId="6" borderId="0" xfId="19" applyFont="1" applyFill="1">
      <alignment/>
      <protection/>
    </xf>
    <xf numFmtId="198" fontId="45" fillId="4" borderId="0" xfId="15" applyFont="1" applyFill="1" applyAlignment="1">
      <alignment/>
    </xf>
    <xf numFmtId="201" fontId="52" fillId="3" borderId="17" xfId="19" applyNumberFormat="1" applyFont="1" applyFill="1" applyBorder="1" applyAlignment="1" applyProtection="1">
      <alignment/>
      <protection hidden="1"/>
    </xf>
    <xf numFmtId="201" fontId="52" fillId="3" borderId="18" xfId="19" applyNumberFormat="1" applyFont="1" applyFill="1" applyBorder="1" applyProtection="1">
      <alignment/>
      <protection hidden="1"/>
    </xf>
    <xf numFmtId="201" fontId="52" fillId="3" borderId="18" xfId="19" applyNumberFormat="1" applyFont="1" applyFill="1" applyBorder="1" applyAlignment="1" applyProtection="1">
      <alignment horizontal="center"/>
      <protection hidden="1"/>
    </xf>
    <xf numFmtId="201" fontId="52" fillId="3" borderId="23" xfId="19" applyNumberFormat="1" applyFont="1" applyFill="1" applyBorder="1" applyProtection="1">
      <alignment/>
      <protection hidden="1"/>
    </xf>
    <xf numFmtId="201" fontId="49" fillId="3" borderId="46" xfId="19" applyNumberFormat="1" applyFont="1" applyFill="1" applyBorder="1" applyAlignment="1" applyProtection="1">
      <alignment/>
      <protection hidden="1"/>
    </xf>
    <xf numFmtId="201" fontId="49" fillId="3" borderId="0" xfId="19" applyNumberFormat="1" applyFont="1" applyFill="1" applyBorder="1" applyAlignment="1" applyProtection="1">
      <alignment horizontal="right"/>
      <protection hidden="1"/>
    </xf>
    <xf numFmtId="204" fontId="49" fillId="3" borderId="0" xfId="19" applyNumberFormat="1" applyFont="1" applyFill="1" applyBorder="1" applyAlignment="1" applyProtection="1">
      <alignment horizontal="left"/>
      <protection hidden="1" locked="0"/>
    </xf>
    <xf numFmtId="201" fontId="49" fillId="3" borderId="47" xfId="19" applyNumberFormat="1" applyFont="1" applyFill="1" applyBorder="1" applyProtection="1">
      <alignment/>
      <protection hidden="1"/>
    </xf>
    <xf numFmtId="201" fontId="49" fillId="3" borderId="0" xfId="19" applyNumberFormat="1" applyFont="1" applyFill="1" applyBorder="1" applyProtection="1">
      <alignment/>
      <protection hidden="1"/>
    </xf>
    <xf numFmtId="201" fontId="49" fillId="3" borderId="47" xfId="19" applyNumberFormat="1" applyFont="1" applyFill="1" applyBorder="1" applyAlignment="1" applyProtection="1">
      <alignment horizontal="right"/>
      <protection hidden="1"/>
    </xf>
    <xf numFmtId="201" fontId="49" fillId="2" borderId="47" xfId="19" applyNumberFormat="1" applyFont="1" applyFill="1" applyBorder="1" applyProtection="1">
      <alignment/>
      <protection hidden="1" locked="0"/>
    </xf>
    <xf numFmtId="201" fontId="59" fillId="3" borderId="17" xfId="19" applyNumberFormat="1" applyFont="1" applyFill="1" applyBorder="1" applyAlignment="1" applyProtection="1">
      <alignment horizontal="centerContinuous"/>
      <protection hidden="1"/>
    </xf>
    <xf numFmtId="201" fontId="59" fillId="3" borderId="18" xfId="19" applyNumberFormat="1" applyFont="1" applyFill="1" applyBorder="1" applyAlignment="1" applyProtection="1">
      <alignment horizontal="centerContinuous"/>
      <protection hidden="1"/>
    </xf>
    <xf numFmtId="201" fontId="59" fillId="3" borderId="23" xfId="19" applyNumberFormat="1" applyFont="1" applyFill="1" applyBorder="1" applyAlignment="1" applyProtection="1">
      <alignment horizontal="centerContinuous"/>
      <protection hidden="1"/>
    </xf>
    <xf numFmtId="201" fontId="49" fillId="3" borderId="10" xfId="19" applyNumberFormat="1" applyFont="1" applyFill="1" applyBorder="1" applyAlignment="1" applyProtection="1">
      <alignment/>
      <protection hidden="1"/>
    </xf>
    <xf numFmtId="201" fontId="49" fillId="3" borderId="11" xfId="19" applyNumberFormat="1" applyFont="1" applyFill="1" applyBorder="1" applyProtection="1">
      <alignment/>
      <protection hidden="1"/>
    </xf>
    <xf numFmtId="191" fontId="49" fillId="3" borderId="12" xfId="24" applyFont="1" applyFill="1" applyBorder="1" applyAlignment="1" applyProtection="1">
      <alignment/>
      <protection hidden="1"/>
    </xf>
    <xf numFmtId="10" fontId="49" fillId="3" borderId="47" xfId="19" applyNumberFormat="1" applyFont="1" applyFill="1" applyBorder="1" applyProtection="1">
      <alignment/>
      <protection hidden="1"/>
    </xf>
    <xf numFmtId="10" fontId="49" fillId="3" borderId="47" xfId="19" applyNumberFormat="1" applyFont="1" applyFill="1" applyBorder="1" applyAlignment="1" applyProtection="1">
      <alignment horizontal="right"/>
      <protection hidden="1"/>
    </xf>
    <xf numFmtId="221" fontId="49" fillId="3" borderId="47" xfId="19" applyNumberFormat="1" applyFont="1" applyFill="1" applyBorder="1" applyProtection="1">
      <alignment/>
      <protection hidden="1"/>
    </xf>
    <xf numFmtId="201" fontId="49" fillId="3" borderId="54" xfId="19" applyNumberFormat="1" applyFont="1" applyFill="1" applyBorder="1" applyAlignment="1" applyProtection="1">
      <alignment/>
      <protection hidden="1"/>
    </xf>
    <xf numFmtId="201" fontId="49" fillId="3" borderId="55" xfId="19" applyNumberFormat="1" applyFont="1" applyFill="1" applyBorder="1" applyProtection="1">
      <alignment/>
      <protection hidden="1"/>
    </xf>
    <xf numFmtId="201" fontId="49" fillId="3" borderId="56" xfId="19" applyNumberFormat="1" applyFont="1" applyFill="1" applyBorder="1" applyProtection="1">
      <alignment/>
      <protection hidden="1"/>
    </xf>
    <xf numFmtId="198" fontId="42" fillId="0" borderId="0" xfId="19" applyFont="1" applyBorder="1" applyProtection="1">
      <alignment/>
      <protection hidden="1"/>
    </xf>
    <xf numFmtId="0" fontId="42" fillId="0" borderId="0" xfId="0" applyFont="1" applyAlignment="1">
      <alignment/>
    </xf>
    <xf numFmtId="201" fontId="55" fillId="0" borderId="17" xfId="19" applyNumberFormat="1" applyFont="1" applyFill="1" applyBorder="1" applyAlignment="1" applyProtection="1">
      <alignment/>
      <protection hidden="1"/>
    </xf>
    <xf numFmtId="201" fontId="55" fillId="0" borderId="22" xfId="19" applyNumberFormat="1" applyFont="1" applyFill="1" applyBorder="1" applyAlignment="1" applyProtection="1">
      <alignment/>
      <protection hidden="1"/>
    </xf>
    <xf numFmtId="201" fontId="42" fillId="0" borderId="46" xfId="19" applyNumberFormat="1" applyFont="1" applyFill="1" applyBorder="1" applyAlignment="1" applyProtection="1">
      <alignment/>
      <protection hidden="1"/>
    </xf>
    <xf numFmtId="201" fontId="42" fillId="0" borderId="31" xfId="19" applyNumberFormat="1" applyFont="1" applyFill="1" applyBorder="1" applyAlignment="1" applyProtection="1">
      <alignment/>
      <protection hidden="1"/>
    </xf>
    <xf numFmtId="0" fontId="47" fillId="0" borderId="0" xfId="0" applyFont="1" applyAlignment="1">
      <alignment/>
    </xf>
    <xf numFmtId="201" fontId="47" fillId="0" borderId="0" xfId="0" applyNumberFormat="1" applyFont="1" applyAlignment="1">
      <alignment/>
    </xf>
    <xf numFmtId="0" fontId="55" fillId="3" borderId="48" xfId="0" applyFont="1" applyFill="1" applyBorder="1" applyAlignment="1">
      <alignment horizontal="center"/>
    </xf>
    <xf numFmtId="0" fontId="55" fillId="3" borderId="49" xfId="0" applyFont="1" applyFill="1" applyBorder="1" applyAlignment="1">
      <alignment horizontal="center"/>
    </xf>
    <xf numFmtId="0" fontId="55" fillId="3" borderId="57" xfId="0" applyFont="1" applyFill="1" applyBorder="1" applyAlignment="1">
      <alignment horizontal="center"/>
    </xf>
    <xf numFmtId="0" fontId="55" fillId="3" borderId="50" xfId="0" applyFont="1" applyFill="1" applyBorder="1" applyAlignment="1">
      <alignment horizontal="center"/>
    </xf>
    <xf numFmtId="9" fontId="63" fillId="2" borderId="44" xfId="21" applyFont="1" applyFill="1" applyBorder="1" applyAlignment="1" applyProtection="1">
      <alignment/>
      <protection locked="0"/>
    </xf>
    <xf numFmtId="9" fontId="63" fillId="2" borderId="9" xfId="21" applyFont="1" applyFill="1" applyBorder="1" applyAlignment="1" applyProtection="1">
      <alignment/>
      <protection locked="0"/>
    </xf>
    <xf numFmtId="9" fontId="63" fillId="2" borderId="58" xfId="21" applyFont="1" applyFill="1" applyBorder="1" applyAlignment="1" applyProtection="1">
      <alignment/>
      <protection locked="0"/>
    </xf>
    <xf numFmtId="0" fontId="66" fillId="3" borderId="22" xfId="0" applyFont="1" applyFill="1" applyBorder="1" applyAlignment="1">
      <alignment horizontal="right"/>
    </xf>
    <xf numFmtId="201" fontId="56" fillId="3" borderId="22" xfId="19" applyNumberFormat="1" applyFont="1" applyFill="1" applyBorder="1" applyAlignment="1" applyProtection="1">
      <alignment horizontal="center"/>
      <protection hidden="1"/>
    </xf>
    <xf numFmtId="201" fontId="56" fillId="3" borderId="23" xfId="19" applyNumberFormat="1" applyFont="1" applyFill="1" applyBorder="1" applyAlignment="1" applyProtection="1">
      <alignment horizontal="center"/>
      <protection hidden="1"/>
    </xf>
    <xf numFmtId="201" fontId="56" fillId="3" borderId="22" xfId="19" applyNumberFormat="1" applyFont="1" applyFill="1" applyBorder="1" applyProtection="1">
      <alignment/>
      <protection hidden="1"/>
    </xf>
    <xf numFmtId="201" fontId="56" fillId="3" borderId="23" xfId="19" applyNumberFormat="1" applyFont="1" applyFill="1" applyBorder="1" applyProtection="1">
      <alignment/>
      <protection hidden="1"/>
    </xf>
    <xf numFmtId="201" fontId="49" fillId="3" borderId="46" xfId="19" applyNumberFormat="1" applyFont="1" applyFill="1" applyBorder="1" applyProtection="1">
      <alignment/>
      <protection hidden="1"/>
    </xf>
    <xf numFmtId="201" fontId="49" fillId="3" borderId="31" xfId="19" applyNumberFormat="1" applyFont="1" applyFill="1" applyBorder="1" applyAlignment="1" applyProtection="1">
      <alignment horizontal="right"/>
      <protection hidden="1"/>
    </xf>
    <xf numFmtId="201" fontId="49" fillId="3" borderId="31" xfId="19" applyNumberFormat="1" applyFont="1" applyFill="1" applyBorder="1" applyAlignment="1" applyProtection="1" quotePrefix="1">
      <alignment horizontal="right"/>
      <protection hidden="1"/>
    </xf>
    <xf numFmtId="201" fontId="49" fillId="3" borderId="23" xfId="19" applyNumberFormat="1" applyFont="1" applyFill="1" applyBorder="1" applyProtection="1">
      <alignment/>
      <protection hidden="1"/>
    </xf>
    <xf numFmtId="201" fontId="59" fillId="0" borderId="0" xfId="19" applyNumberFormat="1" applyFont="1" applyFill="1" applyBorder="1" applyAlignment="1" applyProtection="1">
      <alignment horizontal="center"/>
      <protection hidden="1"/>
    </xf>
    <xf numFmtId="201" fontId="42" fillId="2" borderId="59" xfId="19" applyNumberFormat="1" applyFont="1" applyFill="1" applyBorder="1" applyAlignment="1" applyProtection="1">
      <alignment horizontal="left"/>
      <protection locked="0"/>
    </xf>
    <xf numFmtId="204" fontId="42" fillId="2" borderId="27" xfId="19" applyNumberFormat="1" applyFont="1" applyFill="1" applyBorder="1" applyAlignment="1" applyProtection="1">
      <alignment horizontal="right"/>
      <protection locked="0"/>
    </xf>
    <xf numFmtId="201" fontId="42" fillId="2" borderId="60" xfId="19" applyNumberFormat="1" applyFont="1" applyFill="1" applyBorder="1" applyAlignment="1" applyProtection="1">
      <alignment horizontal="right"/>
      <protection locked="0"/>
    </xf>
    <xf numFmtId="201" fontId="42" fillId="2" borderId="35" xfId="19" applyNumberFormat="1" applyFont="1" applyFill="1" applyBorder="1" applyAlignment="1" applyProtection="1">
      <alignment horizontal="left"/>
      <protection locked="0"/>
    </xf>
    <xf numFmtId="204" fontId="42" fillId="2" borderId="26" xfId="19" applyNumberFormat="1" applyFont="1" applyFill="1" applyBorder="1" applyAlignment="1" applyProtection="1">
      <alignment horizontal="right"/>
      <protection locked="0"/>
    </xf>
    <xf numFmtId="201" fontId="42" fillId="2" borderId="36" xfId="19" applyNumberFormat="1" applyFont="1" applyFill="1" applyBorder="1" applyAlignment="1" applyProtection="1">
      <alignment horizontal="right"/>
      <protection locked="0"/>
    </xf>
    <xf numFmtId="201" fontId="42" fillId="2" borderId="37" xfId="19" applyNumberFormat="1" applyFont="1" applyFill="1" applyBorder="1" applyAlignment="1" applyProtection="1">
      <alignment horizontal="left"/>
      <protection locked="0"/>
    </xf>
    <xf numFmtId="204" fontId="42" fillId="2" borderId="28" xfId="19" applyNumberFormat="1" applyFont="1" applyFill="1" applyBorder="1" applyAlignment="1" applyProtection="1">
      <alignment horizontal="right"/>
      <protection locked="0"/>
    </xf>
    <xf numFmtId="201" fontId="42" fillId="2" borderId="38" xfId="19" applyNumberFormat="1" applyFont="1" applyFill="1" applyBorder="1" applyAlignment="1" applyProtection="1">
      <alignment horizontal="right"/>
      <protection locked="0"/>
    </xf>
    <xf numFmtId="201" fontId="49" fillId="2" borderId="1" xfId="19" applyNumberFormat="1" applyFont="1" applyFill="1" applyBorder="1" applyAlignment="1" applyProtection="1">
      <alignment/>
      <protection locked="0"/>
    </xf>
    <xf numFmtId="201" fontId="49" fillId="2" borderId="1" xfId="19" applyNumberFormat="1" applyFont="1" applyFill="1" applyBorder="1" applyProtection="1">
      <alignment/>
      <protection locked="0"/>
    </xf>
    <xf numFmtId="171" fontId="42" fillId="2" borderId="27" xfId="22" applyFont="1" applyFill="1" applyBorder="1" applyAlignment="1" applyProtection="1">
      <alignment horizontal="right"/>
      <protection locked="0"/>
    </xf>
    <xf numFmtId="201" fontId="67" fillId="0" borderId="0" xfId="19" applyNumberFormat="1" applyFont="1" applyFill="1" applyBorder="1" applyAlignment="1" applyProtection="1" quotePrefix="1">
      <alignment horizontal="centerContinuous"/>
      <protection hidden="1"/>
    </xf>
    <xf numFmtId="201" fontId="56" fillId="3" borderId="10" xfId="19" applyNumberFormat="1" applyFont="1" applyFill="1" applyBorder="1" applyAlignment="1" applyProtection="1">
      <alignment horizontal="centerContinuous"/>
      <protection hidden="1"/>
    </xf>
    <xf numFmtId="201" fontId="56" fillId="3" borderId="12" xfId="19" applyNumberFormat="1" applyFont="1" applyFill="1" applyBorder="1" applyAlignment="1" applyProtection="1">
      <alignment horizontal="centerContinuous"/>
      <protection hidden="1"/>
    </xf>
    <xf numFmtId="201" fontId="49" fillId="3" borderId="11" xfId="19" applyNumberFormat="1" applyFont="1" applyFill="1" applyBorder="1" applyAlignment="1" applyProtection="1">
      <alignment horizontal="centerContinuous"/>
      <protection hidden="1"/>
    </xf>
    <xf numFmtId="201" fontId="49" fillId="3" borderId="12" xfId="19" applyNumberFormat="1" applyFont="1" applyFill="1" applyBorder="1" applyAlignment="1" applyProtection="1">
      <alignment horizontal="centerContinuous"/>
      <protection hidden="1"/>
    </xf>
    <xf numFmtId="201" fontId="68" fillId="0" borderId="0" xfId="19" applyNumberFormat="1" applyFont="1" applyFill="1" applyBorder="1" applyProtection="1">
      <alignment/>
      <protection hidden="1"/>
    </xf>
    <xf numFmtId="201" fontId="56" fillId="3" borderId="46" xfId="19" applyNumberFormat="1" applyFont="1" applyFill="1" applyBorder="1" applyAlignment="1" applyProtection="1">
      <alignment horizontal="centerContinuous"/>
      <protection hidden="1"/>
    </xf>
    <xf numFmtId="201" fontId="49" fillId="3" borderId="47" xfId="19" applyNumberFormat="1" applyFont="1" applyFill="1" applyBorder="1" applyAlignment="1" applyProtection="1">
      <alignment horizontal="centerContinuous"/>
      <protection hidden="1"/>
    </xf>
    <xf numFmtId="201" fontId="56" fillId="3" borderId="11" xfId="19" applyNumberFormat="1" applyFont="1" applyFill="1" applyBorder="1" applyAlignment="1" applyProtection="1">
      <alignment horizontal="centerContinuous"/>
      <protection hidden="1"/>
    </xf>
    <xf numFmtId="201" fontId="56" fillId="3" borderId="54" xfId="19" applyNumberFormat="1" applyFont="1" applyFill="1" applyBorder="1" applyAlignment="1" applyProtection="1">
      <alignment horizontal="centerContinuous"/>
      <protection hidden="1"/>
    </xf>
    <xf numFmtId="201" fontId="49" fillId="3" borderId="56" xfId="19" applyNumberFormat="1" applyFont="1" applyFill="1" applyBorder="1" applyAlignment="1" applyProtection="1">
      <alignment horizontal="centerContinuous"/>
      <protection hidden="1"/>
    </xf>
    <xf numFmtId="201" fontId="56" fillId="3" borderId="55" xfId="19" applyNumberFormat="1" applyFont="1" applyFill="1" applyBorder="1" applyAlignment="1" applyProtection="1">
      <alignment horizontal="centerContinuous"/>
      <protection hidden="1"/>
    </xf>
    <xf numFmtId="201" fontId="68" fillId="0" borderId="0" xfId="19" applyNumberFormat="1" applyFont="1" applyFill="1" applyBorder="1" applyAlignment="1" applyProtection="1">
      <alignment horizontal="center"/>
      <protection hidden="1"/>
    </xf>
    <xf numFmtId="201" fontId="56" fillId="3" borderId="47" xfId="19" applyNumberFormat="1" applyFont="1" applyFill="1" applyBorder="1" applyAlignment="1" applyProtection="1">
      <alignment horizontal="center"/>
      <protection hidden="1"/>
    </xf>
    <xf numFmtId="201" fontId="56" fillId="3" borderId="47" xfId="21" applyNumberFormat="1" applyFont="1" applyFill="1" applyBorder="1" applyAlignment="1" applyProtection="1">
      <alignment horizontal="center"/>
      <protection hidden="1"/>
    </xf>
    <xf numFmtId="201" fontId="49" fillId="3" borderId="24" xfId="19" applyNumberFormat="1" applyFont="1" applyFill="1" applyBorder="1" applyProtection="1">
      <alignment/>
      <protection hidden="1"/>
    </xf>
    <xf numFmtId="201" fontId="49" fillId="3" borderId="24" xfId="24" applyNumberFormat="1" applyFont="1" applyFill="1" applyBorder="1" applyAlignment="1" applyProtection="1">
      <alignment/>
      <protection hidden="1"/>
    </xf>
    <xf numFmtId="201" fontId="49" fillId="2" borderId="48" xfId="24" applyNumberFormat="1" applyFont="1" applyFill="1" applyBorder="1" applyAlignment="1" applyProtection="1">
      <alignment/>
      <protection hidden="1" locked="0"/>
    </xf>
    <xf numFmtId="201" fontId="49" fillId="2" borderId="50" xfId="24" applyNumberFormat="1" applyFont="1" applyFill="1" applyBorder="1" applyAlignment="1" applyProtection="1">
      <alignment/>
      <protection hidden="1" locked="0"/>
    </xf>
    <xf numFmtId="201" fontId="49" fillId="3" borderId="34" xfId="21" applyNumberFormat="1" applyFont="1" applyFill="1" applyBorder="1" applyAlignment="1" applyProtection="1">
      <alignment/>
      <protection hidden="1"/>
    </xf>
    <xf numFmtId="201" fontId="49" fillId="3" borderId="34" xfId="24" applyNumberFormat="1" applyFont="1" applyFill="1" applyBorder="1" applyAlignment="1" applyProtection="1">
      <alignment/>
      <protection hidden="1"/>
    </xf>
    <xf numFmtId="201" fontId="49" fillId="3" borderId="26" xfId="24" applyNumberFormat="1" applyFont="1" applyFill="1" applyBorder="1" applyAlignment="1" applyProtection="1">
      <alignment/>
      <protection hidden="1"/>
    </xf>
    <xf numFmtId="201" fontId="49" fillId="3" borderId="26" xfId="21" applyNumberFormat="1" applyFont="1" applyFill="1" applyBorder="1" applyAlignment="1" applyProtection="1">
      <alignment/>
      <protection hidden="1"/>
    </xf>
    <xf numFmtId="201" fontId="49" fillId="2" borderId="42" xfId="24" applyNumberFormat="1" applyFont="1" applyFill="1" applyBorder="1" applyAlignment="1" applyProtection="1">
      <alignment/>
      <protection hidden="1" locked="0"/>
    </xf>
    <xf numFmtId="201" fontId="49" fillId="2" borderId="43" xfId="24" applyNumberFormat="1" applyFont="1" applyFill="1" applyBorder="1" applyAlignment="1" applyProtection="1">
      <alignment/>
      <protection hidden="1" locked="0"/>
    </xf>
    <xf numFmtId="201" fontId="49" fillId="3" borderId="36" xfId="21" applyNumberFormat="1" applyFont="1" applyFill="1" applyBorder="1" applyAlignment="1" applyProtection="1">
      <alignment/>
      <protection hidden="1"/>
    </xf>
    <xf numFmtId="201" fontId="49" fillId="3" borderId="36" xfId="24" applyNumberFormat="1" applyFont="1" applyFill="1" applyBorder="1" applyAlignment="1" applyProtection="1">
      <alignment/>
      <protection hidden="1"/>
    </xf>
    <xf numFmtId="201" fontId="49" fillId="3" borderId="26" xfId="24" applyNumberFormat="1" applyFont="1" applyFill="1" applyBorder="1" applyAlignment="1" applyProtection="1" quotePrefix="1">
      <alignment/>
      <protection hidden="1"/>
    </xf>
    <xf numFmtId="201" fontId="49" fillId="9" borderId="61" xfId="24" applyNumberFormat="1" applyFont="1" applyFill="1" applyBorder="1" applyAlignment="1" applyProtection="1">
      <alignment/>
      <protection hidden="1"/>
    </xf>
    <xf numFmtId="201" fontId="49" fillId="9" borderId="46" xfId="24" applyNumberFormat="1" applyFont="1" applyFill="1" applyBorder="1" applyAlignment="1" applyProtection="1">
      <alignment/>
      <protection hidden="1"/>
    </xf>
    <xf numFmtId="201" fontId="49" fillId="9" borderId="47" xfId="24" applyNumberFormat="1" applyFont="1" applyFill="1" applyBorder="1" applyAlignment="1" applyProtection="1">
      <alignment/>
      <protection hidden="1"/>
    </xf>
    <xf numFmtId="201" fontId="49" fillId="9" borderId="26" xfId="24" applyNumberFormat="1" applyFont="1" applyFill="1" applyBorder="1" applyAlignment="1" applyProtection="1">
      <alignment/>
      <protection hidden="1"/>
    </xf>
    <xf numFmtId="201" fontId="49" fillId="9" borderId="36" xfId="21" applyNumberFormat="1" applyFont="1" applyFill="1" applyBorder="1" applyAlignment="1" applyProtection="1">
      <alignment/>
      <protection hidden="1"/>
    </xf>
    <xf numFmtId="201" fontId="49" fillId="9" borderId="26" xfId="19" applyNumberFormat="1" applyFont="1" applyFill="1" applyBorder="1" applyProtection="1">
      <alignment/>
      <protection hidden="1"/>
    </xf>
    <xf numFmtId="201" fontId="49" fillId="9" borderId="36" xfId="19" applyNumberFormat="1" applyFont="1" applyFill="1" applyBorder="1" applyProtection="1">
      <alignment/>
      <protection hidden="1"/>
    </xf>
    <xf numFmtId="201" fontId="49" fillId="3" borderId="27" xfId="24" applyNumberFormat="1" applyFont="1" applyFill="1" applyBorder="1" applyAlignment="1" applyProtection="1">
      <alignment horizontal="left"/>
      <protection hidden="1"/>
    </xf>
    <xf numFmtId="201" fontId="49" fillId="3" borderId="27" xfId="24" applyNumberFormat="1" applyFont="1" applyFill="1" applyBorder="1" applyAlignment="1" applyProtection="1">
      <alignment horizontal="right"/>
      <protection hidden="1"/>
    </xf>
    <xf numFmtId="201" fontId="49" fillId="3" borderId="60" xfId="24" applyNumberFormat="1" applyFont="1" applyFill="1" applyBorder="1" applyAlignment="1" applyProtection="1">
      <alignment horizontal="left"/>
      <protection hidden="1"/>
    </xf>
    <xf numFmtId="201" fontId="49" fillId="3" borderId="26" xfId="24" applyNumberFormat="1" applyFont="1" applyFill="1" applyBorder="1" applyAlignment="1" applyProtection="1">
      <alignment horizontal="right"/>
      <protection hidden="1"/>
    </xf>
    <xf numFmtId="201" fontId="49" fillId="3" borderId="36" xfId="24" applyNumberFormat="1" applyFont="1" applyFill="1" applyBorder="1" applyAlignment="1" applyProtection="1">
      <alignment horizontal="left"/>
      <protection hidden="1"/>
    </xf>
    <xf numFmtId="201" fontId="49" fillId="3" borderId="28" xfId="19" applyNumberFormat="1" applyFont="1" applyFill="1" applyBorder="1" applyProtection="1">
      <alignment/>
      <protection hidden="1"/>
    </xf>
    <xf numFmtId="201" fontId="49" fillId="3" borderId="62" xfId="24" applyNumberFormat="1" applyFont="1" applyFill="1" applyBorder="1" applyAlignment="1" applyProtection="1">
      <alignment horizontal="left"/>
      <protection hidden="1"/>
    </xf>
    <xf numFmtId="201" fontId="49" fillId="9" borderId="54" xfId="24" applyNumberFormat="1" applyFont="1" applyFill="1" applyBorder="1" applyAlignment="1" applyProtection="1">
      <alignment/>
      <protection hidden="1"/>
    </xf>
    <xf numFmtId="201" fontId="49" fillId="9" borderId="56" xfId="24" applyNumberFormat="1" applyFont="1" applyFill="1" applyBorder="1" applyAlignment="1" applyProtection="1">
      <alignment/>
      <protection hidden="1"/>
    </xf>
    <xf numFmtId="201" fontId="49" fillId="3" borderId="56" xfId="21" applyNumberFormat="1" applyFont="1" applyFill="1" applyBorder="1" applyAlignment="1" applyProtection="1">
      <alignment/>
      <protection hidden="1"/>
    </xf>
    <xf numFmtId="201" fontId="49" fillId="3" borderId="28" xfId="24" applyNumberFormat="1" applyFont="1" applyFill="1" applyBorder="1" applyAlignment="1" applyProtection="1">
      <alignment horizontal="right"/>
      <protection hidden="1"/>
    </xf>
    <xf numFmtId="201" fontId="49" fillId="0" borderId="0" xfId="24" applyNumberFormat="1" applyFont="1" applyFill="1" applyAlignment="1" applyProtection="1">
      <alignment/>
      <protection hidden="1"/>
    </xf>
    <xf numFmtId="201" fontId="49" fillId="0" borderId="0" xfId="21" applyNumberFormat="1" applyFont="1" applyFill="1" applyAlignment="1" applyProtection="1">
      <alignment/>
      <protection hidden="1"/>
    </xf>
    <xf numFmtId="0" fontId="57" fillId="8" borderId="0" xfId="15" applyFont="1" applyFill="1" applyAlignment="1">
      <alignment horizontal="left"/>
    </xf>
    <xf numFmtId="201" fontId="56" fillId="3" borderId="62" xfId="19" applyNumberFormat="1" applyFont="1" applyFill="1" applyBorder="1" applyAlignment="1" applyProtection="1">
      <alignment horizontal="center"/>
      <protection hidden="1"/>
    </xf>
    <xf numFmtId="0" fontId="57" fillId="3" borderId="0" xfId="15" applyFont="1" applyFill="1" applyAlignment="1">
      <alignment/>
    </xf>
    <xf numFmtId="171" fontId="42" fillId="2" borderId="26" xfId="22" applyFont="1" applyFill="1" applyBorder="1" applyAlignment="1" applyProtection="1">
      <alignment horizontal="right"/>
      <protection locked="0"/>
    </xf>
    <xf numFmtId="171" fontId="42" fillId="2" borderId="28" xfId="22" applyFont="1" applyFill="1" applyBorder="1" applyAlignment="1" applyProtection="1">
      <alignment horizontal="right"/>
      <protection locked="0"/>
    </xf>
    <xf numFmtId="171" fontId="42" fillId="2" borderId="63" xfId="22" applyFont="1" applyFill="1" applyBorder="1" applyAlignment="1" applyProtection="1">
      <alignment horizontal="right"/>
      <protection locked="0"/>
    </xf>
    <xf numFmtId="171" fontId="42" fillId="2" borderId="6" xfId="22" applyFont="1" applyFill="1" applyBorder="1" applyAlignment="1" applyProtection="1">
      <alignment horizontal="right"/>
      <protection locked="0"/>
    </xf>
    <xf numFmtId="171" fontId="42" fillId="2" borderId="7" xfId="22" applyFont="1" applyFill="1" applyBorder="1" applyAlignment="1" applyProtection="1">
      <alignment horizontal="right"/>
      <protection locked="0"/>
    </xf>
    <xf numFmtId="204" fontId="49" fillId="2" borderId="1" xfId="19" applyNumberFormat="1" applyFont="1" applyFill="1" applyBorder="1" applyProtection="1">
      <alignment/>
      <protection locked="0"/>
    </xf>
    <xf numFmtId="201" fontId="49" fillId="2" borderId="8" xfId="19" applyNumberFormat="1" applyFont="1" applyFill="1" applyBorder="1" applyProtection="1">
      <alignment/>
      <protection locked="0"/>
    </xf>
    <xf numFmtId="10" fontId="49" fillId="3" borderId="27" xfId="21" applyNumberFormat="1" applyFont="1" applyFill="1" applyBorder="1" applyAlignment="1" applyProtection="1">
      <alignment horizontal="right"/>
      <protection hidden="1"/>
    </xf>
    <xf numFmtId="204" fontId="49" fillId="3" borderId="62" xfId="24" applyNumberFormat="1" applyFont="1" applyFill="1" applyBorder="1" applyAlignment="1" applyProtection="1">
      <alignment horizontal="right"/>
      <protection hidden="1"/>
    </xf>
    <xf numFmtId="201" fontId="49" fillId="0" borderId="0" xfId="19" applyNumberFormat="1" applyFont="1" applyFill="1" applyBorder="1" applyAlignment="1" applyProtection="1">
      <alignment horizontal="centerContinuous"/>
      <protection hidden="1"/>
    </xf>
    <xf numFmtId="198" fontId="49" fillId="0" borderId="0" xfId="19" applyFont="1" applyAlignment="1" applyProtection="1">
      <alignment horizontal="centerContinuous"/>
      <protection hidden="1"/>
    </xf>
    <xf numFmtId="201" fontId="49" fillId="0" borderId="0" xfId="19" applyNumberFormat="1" applyFont="1" applyFill="1" applyBorder="1" applyAlignment="1" applyProtection="1">
      <alignment horizontal="left"/>
      <protection hidden="1"/>
    </xf>
    <xf numFmtId="198" fontId="49" fillId="0" borderId="0" xfId="19" applyFont="1" applyAlignment="1" applyProtection="1">
      <alignment/>
      <protection hidden="1"/>
    </xf>
    <xf numFmtId="198" fontId="42" fillId="0" borderId="0" xfId="19" applyFont="1" applyBorder="1" applyAlignment="1" applyProtection="1">
      <alignment/>
      <protection hidden="1"/>
    </xf>
    <xf numFmtId="217" fontId="49" fillId="0" borderId="0" xfId="19" applyNumberFormat="1" applyFont="1" applyFill="1" applyBorder="1" applyAlignment="1" applyProtection="1">
      <alignment horizontal="right"/>
      <protection hidden="1"/>
    </xf>
    <xf numFmtId="171" fontId="49" fillId="0" borderId="0" xfId="22" applyFont="1" applyFill="1" applyBorder="1" applyAlignment="1" applyProtection="1">
      <alignment horizontal="left"/>
      <protection hidden="1"/>
    </xf>
    <xf numFmtId="198" fontId="42" fillId="0" borderId="0" xfId="19" applyFont="1" applyAlignment="1" applyProtection="1">
      <alignment horizontal="centerContinuous"/>
      <protection hidden="1"/>
    </xf>
    <xf numFmtId="201" fontId="49" fillId="0" borderId="0" xfId="19" applyNumberFormat="1" applyFont="1" applyFill="1" applyBorder="1" applyAlignment="1" applyProtection="1">
      <alignment horizontal="right"/>
      <protection hidden="1"/>
    </xf>
    <xf numFmtId="10" fontId="49" fillId="0" borderId="0" xfId="19" applyNumberFormat="1" applyFont="1" applyFill="1" applyBorder="1" applyAlignment="1" applyProtection="1">
      <alignment horizontal="center"/>
      <protection hidden="1"/>
    </xf>
    <xf numFmtId="204" fontId="56" fillId="3" borderId="17" xfId="19" applyNumberFormat="1" applyFont="1" applyFill="1" applyBorder="1" applyAlignment="1" applyProtection="1">
      <alignment horizontal="left"/>
      <protection hidden="1"/>
    </xf>
    <xf numFmtId="204" fontId="56" fillId="3" borderId="18" xfId="19" applyNumberFormat="1" applyFont="1" applyFill="1" applyBorder="1" applyProtection="1">
      <alignment/>
      <protection hidden="1"/>
    </xf>
    <xf numFmtId="204" fontId="56" fillId="3" borderId="25" xfId="19" applyNumberFormat="1" applyFont="1" applyFill="1" applyBorder="1" applyAlignment="1" applyProtection="1">
      <alignment horizontal="centerContinuous" vertical="center"/>
      <protection hidden="1"/>
    </xf>
    <xf numFmtId="204" fontId="56" fillId="3" borderId="25" xfId="19" applyNumberFormat="1" applyFont="1" applyFill="1" applyBorder="1" applyAlignment="1" applyProtection="1">
      <alignment horizontal="center"/>
      <protection hidden="1"/>
    </xf>
    <xf numFmtId="201" fontId="56" fillId="0" borderId="0" xfId="19" applyNumberFormat="1" applyFont="1" applyFill="1" applyBorder="1" applyAlignment="1" applyProtection="1">
      <alignment horizontal="center"/>
      <protection hidden="1"/>
    </xf>
    <xf numFmtId="204" fontId="56" fillId="3" borderId="62" xfId="19" applyNumberFormat="1" applyFont="1" applyFill="1" applyBorder="1" applyAlignment="1" applyProtection="1">
      <alignment horizontal="centerContinuous" vertical="center"/>
      <protection hidden="1"/>
    </xf>
    <xf numFmtId="204" fontId="56" fillId="3" borderId="62" xfId="19" applyNumberFormat="1" applyFont="1" applyFill="1" applyBorder="1" applyAlignment="1" applyProtection="1">
      <alignment horizontal="center"/>
      <protection hidden="1"/>
    </xf>
    <xf numFmtId="204" fontId="49" fillId="3" borderId="64" xfId="19" applyNumberFormat="1" applyFont="1" applyFill="1" applyBorder="1" applyProtection="1">
      <alignment/>
      <protection hidden="1"/>
    </xf>
    <xf numFmtId="204" fontId="49" fillId="3" borderId="21" xfId="19" applyNumberFormat="1" applyFont="1" applyFill="1" applyBorder="1" applyProtection="1">
      <alignment/>
      <protection hidden="1"/>
    </xf>
    <xf numFmtId="201" fontId="49" fillId="3" borderId="65" xfId="19" applyNumberFormat="1" applyFont="1" applyFill="1" applyBorder="1" applyProtection="1">
      <alignment/>
      <protection hidden="1"/>
    </xf>
    <xf numFmtId="204" fontId="49" fillId="3" borderId="42" xfId="19" applyNumberFormat="1" applyFont="1" applyFill="1" applyBorder="1" applyProtection="1">
      <alignment/>
      <protection hidden="1"/>
    </xf>
    <xf numFmtId="204" fontId="49" fillId="3" borderId="1" xfId="19" applyNumberFormat="1" applyFont="1" applyFill="1" applyBorder="1" applyProtection="1">
      <alignment/>
      <protection hidden="1"/>
    </xf>
    <xf numFmtId="204" fontId="49" fillId="3" borderId="44" xfId="19" applyNumberFormat="1" applyFont="1" applyFill="1" applyBorder="1" applyProtection="1">
      <alignment/>
      <protection hidden="1"/>
    </xf>
    <xf numFmtId="204" fontId="49" fillId="3" borderId="9" xfId="19" applyNumberFormat="1" applyFont="1" applyFill="1" applyBorder="1" applyProtection="1">
      <alignment/>
      <protection hidden="1"/>
    </xf>
    <xf numFmtId="201" fontId="49" fillId="3" borderId="45" xfId="19" applyNumberFormat="1" applyFont="1" applyFill="1" applyBorder="1" applyProtection="1">
      <alignment/>
      <protection hidden="1"/>
    </xf>
    <xf numFmtId="204" fontId="49" fillId="0" borderId="0" xfId="19" applyNumberFormat="1" applyFont="1" applyFill="1" applyBorder="1" applyProtection="1">
      <alignment/>
      <protection hidden="1"/>
    </xf>
    <xf numFmtId="0" fontId="57" fillId="0" borderId="0" xfId="15" applyFont="1" applyFill="1" applyAlignment="1">
      <alignment/>
    </xf>
    <xf numFmtId="201" fontId="42" fillId="6" borderId="0" xfId="19" applyNumberFormat="1" applyFont="1" applyFill="1" applyProtection="1">
      <alignment/>
      <protection/>
    </xf>
    <xf numFmtId="198" fontId="42" fillId="6" borderId="0" xfId="19" applyFont="1" applyFill="1" applyAlignment="1">
      <alignment horizontal="right"/>
      <protection/>
    </xf>
    <xf numFmtId="198" fontId="42" fillId="6" borderId="0" xfId="19" applyFont="1" applyFill="1" applyAlignment="1">
      <alignment horizontal="left"/>
      <protection/>
    </xf>
    <xf numFmtId="201" fontId="42" fillId="6" borderId="0" xfId="19" applyNumberFormat="1" applyFont="1" applyFill="1" applyAlignment="1" applyProtection="1">
      <alignment/>
      <protection/>
    </xf>
    <xf numFmtId="201" fontId="57" fillId="6" borderId="0" xfId="15" applyNumberFormat="1" applyFont="1" applyFill="1" applyAlignment="1" applyProtection="1">
      <alignment/>
      <protection/>
    </xf>
    <xf numFmtId="198" fontId="42" fillId="3" borderId="0" xfId="19" applyFont="1" applyFill="1" applyAlignment="1" applyProtection="1">
      <alignment/>
      <protection hidden="1"/>
    </xf>
    <xf numFmtId="198" fontId="57" fillId="3" borderId="0" xfId="15" applyFont="1" applyFill="1" applyAlignment="1">
      <alignment/>
    </xf>
    <xf numFmtId="0" fontId="56" fillId="2" borderId="22" xfId="19" applyNumberFormat="1" applyFont="1" applyFill="1" applyBorder="1" applyAlignment="1" applyProtection="1">
      <alignment horizontal="center"/>
      <protection locked="0"/>
    </xf>
    <xf numFmtId="201" fontId="55" fillId="0" borderId="0" xfId="19" applyNumberFormat="1" applyFont="1" applyFill="1" applyBorder="1" applyAlignment="1" applyProtection="1">
      <alignment/>
      <protection hidden="1"/>
    </xf>
    <xf numFmtId="207" fontId="49" fillId="3" borderId="6" xfId="21" applyNumberFormat="1" applyFont="1" applyFill="1" applyBorder="1" applyAlignment="1" applyProtection="1">
      <alignment horizontal="centerContinuous"/>
      <protection hidden="1"/>
    </xf>
    <xf numFmtId="201" fontId="4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201" fontId="55" fillId="0" borderId="1" xfId="19" applyNumberFormat="1" applyFont="1" applyFill="1" applyBorder="1" applyAlignment="1" applyProtection="1">
      <alignment/>
      <protection hidden="1"/>
    </xf>
    <xf numFmtId="0" fontId="42" fillId="0" borderId="1" xfId="0" applyFont="1" applyBorder="1" applyAlignment="1">
      <alignment/>
    </xf>
    <xf numFmtId="207" fontId="55" fillId="0" borderId="1" xfId="21" applyNumberFormat="1" applyFont="1" applyFill="1" applyBorder="1" applyAlignment="1" applyProtection="1">
      <alignment/>
      <protection hidden="1"/>
    </xf>
    <xf numFmtId="171" fontId="42" fillId="0" borderId="1" xfId="22" applyFont="1" applyFill="1" applyBorder="1" applyAlignment="1" applyProtection="1">
      <alignment/>
      <protection hidden="1"/>
    </xf>
    <xf numFmtId="201" fontId="55" fillId="0" borderId="49" xfId="19" applyNumberFormat="1" applyFont="1" applyFill="1" applyBorder="1" applyAlignment="1" applyProtection="1">
      <alignment/>
      <protection hidden="1"/>
    </xf>
    <xf numFmtId="201" fontId="55" fillId="0" borderId="50" xfId="19" applyNumberFormat="1" applyFont="1" applyFill="1" applyBorder="1" applyAlignment="1" applyProtection="1">
      <alignment/>
      <protection hidden="1"/>
    </xf>
    <xf numFmtId="201" fontId="56" fillId="3" borderId="42" xfId="19" applyNumberFormat="1" applyFont="1" applyFill="1" applyBorder="1" applyAlignment="1" applyProtection="1">
      <alignment/>
      <protection hidden="1"/>
    </xf>
    <xf numFmtId="0" fontId="42" fillId="0" borderId="43" xfId="0" applyFont="1" applyBorder="1" applyAlignment="1">
      <alignment/>
    </xf>
    <xf numFmtId="201" fontId="55" fillId="0" borderId="43" xfId="19" applyNumberFormat="1" applyFont="1" applyFill="1" applyBorder="1" applyAlignment="1" applyProtection="1">
      <alignment/>
      <protection hidden="1"/>
    </xf>
    <xf numFmtId="207" fontId="55" fillId="0" borderId="43" xfId="21" applyNumberFormat="1" applyFont="1" applyFill="1" applyBorder="1" applyAlignment="1" applyProtection="1">
      <alignment/>
      <protection hidden="1"/>
    </xf>
    <xf numFmtId="171" fontId="42" fillId="0" borderId="43" xfId="22" applyFont="1" applyFill="1" applyBorder="1" applyAlignment="1" applyProtection="1">
      <alignment/>
      <protection hidden="1"/>
    </xf>
    <xf numFmtId="201" fontId="56" fillId="3" borderId="44" xfId="19" applyNumberFormat="1" applyFont="1" applyFill="1" applyBorder="1" applyAlignment="1" applyProtection="1">
      <alignment/>
      <protection hidden="1"/>
    </xf>
    <xf numFmtId="171" fontId="55" fillId="0" borderId="9" xfId="22" applyFont="1" applyBorder="1" applyAlignment="1">
      <alignment/>
    </xf>
    <xf numFmtId="171" fontId="55" fillId="0" borderId="45" xfId="22" applyFont="1" applyBorder="1" applyAlignment="1">
      <alignment/>
    </xf>
    <xf numFmtId="0" fontId="1" fillId="0" borderId="0" xfId="15" applyFill="1" applyBorder="1" applyAlignment="1">
      <alignment horizontal="center"/>
    </xf>
    <xf numFmtId="0" fontId="1" fillId="0" borderId="0" xfId="15" applyFill="1" applyBorder="1" applyAlignment="1">
      <alignment/>
    </xf>
    <xf numFmtId="201" fontId="56" fillId="3" borderId="62" xfId="19" applyNumberFormat="1" applyFont="1" applyFill="1" applyBorder="1" applyAlignment="1" applyProtection="1">
      <alignment horizontal="center"/>
      <protection hidden="1"/>
    </xf>
    <xf numFmtId="198" fontId="64" fillId="4" borderId="0" xfId="19" applyFont="1" applyFill="1" applyAlignment="1">
      <alignment horizontal="center"/>
      <protection/>
    </xf>
    <xf numFmtId="198" fontId="65" fillId="4" borderId="0" xfId="15" applyFont="1" applyFill="1" applyAlignment="1">
      <alignment horizontal="left"/>
    </xf>
    <xf numFmtId="0" fontId="44" fillId="5" borderId="0" xfId="0" applyFont="1" applyFill="1" applyBorder="1" applyAlignment="1">
      <alignment horizontal="center"/>
    </xf>
    <xf numFmtId="198" fontId="38" fillId="2" borderId="0" xfId="19" applyFont="1" applyFill="1" applyAlignment="1" applyProtection="1">
      <alignment horizontal="center"/>
      <protection locked="0"/>
    </xf>
    <xf numFmtId="201" fontId="59" fillId="3" borderId="2" xfId="19" applyNumberFormat="1" applyFont="1" applyFill="1" applyBorder="1" applyAlignment="1" applyProtection="1">
      <alignment horizontal="center" wrapText="1"/>
      <protection hidden="1"/>
    </xf>
    <xf numFmtId="201" fontId="59" fillId="3" borderId="6" xfId="19" applyNumberFormat="1" applyFont="1" applyFill="1" applyBorder="1" applyAlignment="1" applyProtection="1">
      <alignment horizontal="center" wrapText="1"/>
      <protection hidden="1"/>
    </xf>
    <xf numFmtId="201" fontId="59" fillId="3" borderId="4" xfId="19" applyNumberFormat="1" applyFont="1" applyFill="1" applyBorder="1" applyAlignment="1" applyProtection="1">
      <alignment horizontal="center" wrapText="1"/>
      <protection hidden="1"/>
    </xf>
    <xf numFmtId="201" fontId="55" fillId="3" borderId="2" xfId="19" applyNumberFormat="1" applyFont="1" applyFill="1" applyBorder="1" applyAlignment="1" applyProtection="1">
      <alignment horizontal="center" wrapText="1"/>
      <protection hidden="1"/>
    </xf>
    <xf numFmtId="201" fontId="55" fillId="3" borderId="6" xfId="19" applyNumberFormat="1" applyFont="1" applyFill="1" applyBorder="1" applyAlignment="1" applyProtection="1">
      <alignment horizontal="center" wrapText="1"/>
      <protection hidden="1"/>
    </xf>
    <xf numFmtId="201" fontId="55" fillId="3" borderId="4" xfId="19" applyNumberFormat="1" applyFont="1" applyFill="1" applyBorder="1" applyAlignment="1" applyProtection="1">
      <alignment horizontal="center" wrapText="1"/>
      <protection hidden="1"/>
    </xf>
    <xf numFmtId="201" fontId="58" fillId="2" borderId="15" xfId="19" applyNumberFormat="1" applyFont="1" applyFill="1" applyBorder="1" applyAlignment="1" applyProtection="1">
      <alignment horizontal="left" vertical="top" wrapText="1"/>
      <protection locked="0"/>
    </xf>
    <xf numFmtId="201" fontId="58" fillId="2" borderId="3" xfId="19" applyNumberFormat="1" applyFont="1" applyFill="1" applyBorder="1" applyAlignment="1" applyProtection="1">
      <alignment horizontal="left" vertical="top" wrapText="1"/>
      <protection locked="0"/>
    </xf>
    <xf numFmtId="201" fontId="58" fillId="2" borderId="66" xfId="19" applyNumberFormat="1" applyFont="1" applyFill="1" applyBorder="1" applyAlignment="1" applyProtection="1">
      <alignment horizontal="left" vertical="top" wrapText="1"/>
      <protection locked="0"/>
    </xf>
    <xf numFmtId="201" fontId="58" fillId="2" borderId="13" xfId="19" applyNumberFormat="1" applyFont="1" applyFill="1" applyBorder="1" applyAlignment="1" applyProtection="1">
      <alignment horizontal="left" vertical="top" wrapText="1"/>
      <protection locked="0"/>
    </xf>
    <xf numFmtId="201" fontId="58" fillId="2" borderId="0" xfId="19" applyNumberFormat="1" applyFont="1" applyFill="1" applyBorder="1" applyAlignment="1" applyProtection="1">
      <alignment horizontal="left" vertical="top" wrapText="1"/>
      <protection locked="0"/>
    </xf>
    <xf numFmtId="201" fontId="58" fillId="2" borderId="67" xfId="19" applyNumberFormat="1" applyFont="1" applyFill="1" applyBorder="1" applyAlignment="1" applyProtection="1">
      <alignment horizontal="left" vertical="top" wrapText="1"/>
      <protection locked="0"/>
    </xf>
    <xf numFmtId="201" fontId="58" fillId="2" borderId="68" xfId="19" applyNumberFormat="1" applyFont="1" applyFill="1" applyBorder="1" applyAlignment="1" applyProtection="1">
      <alignment horizontal="left" vertical="top" wrapText="1"/>
      <protection locked="0"/>
    </xf>
    <xf numFmtId="201" fontId="58" fillId="2" borderId="63" xfId="19" applyNumberFormat="1" applyFont="1" applyFill="1" applyBorder="1" applyAlignment="1" applyProtection="1">
      <alignment horizontal="left" vertical="top" wrapText="1"/>
      <protection locked="0"/>
    </xf>
    <xf numFmtId="201" fontId="58" fillId="2" borderId="69" xfId="19" applyNumberFormat="1" applyFont="1" applyFill="1" applyBorder="1" applyAlignment="1" applyProtection="1">
      <alignment horizontal="left" vertical="top" wrapText="1"/>
      <protection locked="0"/>
    </xf>
    <xf numFmtId="201" fontId="56" fillId="3" borderId="25" xfId="19" applyNumberFormat="1" applyFont="1" applyFill="1" applyBorder="1" applyAlignment="1" applyProtection="1">
      <alignment horizontal="center"/>
      <protection hidden="1"/>
    </xf>
    <xf numFmtId="9" fontId="49" fillId="2" borderId="35" xfId="21" applyFont="1" applyFill="1" applyBorder="1" applyAlignment="1" applyProtection="1">
      <alignment horizontal="center"/>
      <protection hidden="1" locked="0"/>
    </xf>
    <xf numFmtId="9" fontId="49" fillId="2" borderId="36" xfId="21" applyFont="1" applyFill="1" applyBorder="1" applyAlignment="1" applyProtection="1">
      <alignment horizontal="center"/>
      <protection hidden="1" locked="0"/>
    </xf>
    <xf numFmtId="9" fontId="49" fillId="2" borderId="37" xfId="21" applyFont="1" applyFill="1" applyBorder="1" applyAlignment="1" applyProtection="1">
      <alignment horizontal="center"/>
      <protection hidden="1" locked="0"/>
    </xf>
    <xf numFmtId="9" fontId="49" fillId="2" borderId="38" xfId="21" applyFont="1" applyFill="1" applyBorder="1" applyAlignment="1" applyProtection="1">
      <alignment horizontal="center"/>
      <protection hidden="1" locked="0"/>
    </xf>
    <xf numFmtId="9" fontId="49" fillId="2" borderId="30" xfId="21" applyFont="1" applyFill="1" applyBorder="1" applyAlignment="1" applyProtection="1">
      <alignment horizontal="center"/>
      <protection hidden="1" locked="0"/>
    </xf>
    <xf numFmtId="9" fontId="49" fillId="2" borderId="34" xfId="21" applyFont="1" applyFill="1" applyBorder="1" applyAlignment="1" applyProtection="1">
      <alignment horizontal="center"/>
      <protection hidden="1" locked="0"/>
    </xf>
    <xf numFmtId="0" fontId="55" fillId="3" borderId="25" xfId="0" applyFont="1" applyFill="1" applyBorder="1" applyAlignment="1">
      <alignment horizontal="center"/>
    </xf>
    <xf numFmtId="0" fontId="55" fillId="3" borderId="62" xfId="0" applyFont="1" applyFill="1" applyBorder="1" applyAlignment="1">
      <alignment horizontal="center"/>
    </xf>
    <xf numFmtId="201" fontId="56" fillId="2" borderId="17" xfId="19" applyNumberFormat="1" applyFont="1" applyFill="1" applyBorder="1" applyAlignment="1" applyProtection="1">
      <alignment horizontal="center"/>
      <protection hidden="1"/>
    </xf>
    <xf numFmtId="201" fontId="56" fillId="2" borderId="18" xfId="19" applyNumberFormat="1" applyFont="1" applyFill="1" applyBorder="1" applyAlignment="1" applyProtection="1">
      <alignment horizontal="center"/>
      <protection hidden="1"/>
    </xf>
    <xf numFmtId="204" fontId="56" fillId="3" borderId="17" xfId="19" applyNumberFormat="1" applyFont="1" applyFill="1" applyBorder="1" applyAlignment="1" applyProtection="1">
      <alignment horizontal="center"/>
      <protection hidden="1"/>
    </xf>
    <xf numFmtId="204" fontId="56" fillId="3" borderId="23" xfId="19" applyNumberFormat="1" applyFont="1" applyFill="1" applyBorder="1" applyAlignment="1" applyProtection="1">
      <alignment horizontal="center"/>
      <protection hidden="1"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arrumando" xfId="19"/>
    <cellStyle name="Normal_BRE - COMÉRCIO" xfId="20"/>
    <cellStyle name="Percent" xfId="21"/>
    <cellStyle name="Comma" xfId="22"/>
    <cellStyle name="Comma [0]" xfId="23"/>
    <cellStyle name="Separador de milhares_arrumando" xfId="24"/>
    <cellStyle name="Separador de milhares_BRE - COMÉRCIO" xfId="25"/>
  </cellStyles>
  <dxfs count="1"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3"/>
          <c:w val="0.97275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'Custos Fixos Operacionais'!$E$28:$E$49</c:f>
              <c:strCache>
                <c:ptCount val="22"/>
                <c:pt idx="0">
                  <c:v>Mão-de-Obra+ Encargos</c:v>
                </c:pt>
                <c:pt idx="1">
                  <c:v>Retirada dos Sócios</c:v>
                </c:pt>
                <c:pt idx="2">
                  <c:v>Água</c:v>
                </c:pt>
                <c:pt idx="3">
                  <c:v>Luz</c:v>
                </c:pt>
                <c:pt idx="4">
                  <c:v>Telefone</c:v>
                </c:pt>
                <c:pt idx="5">
                  <c:v>Contador</c:v>
                </c:pt>
                <c:pt idx="6">
                  <c:v>Despesas com Veículos</c:v>
                </c:pt>
                <c:pt idx="7">
                  <c:v>Material de Expediente e Consumo</c:v>
                </c:pt>
                <c:pt idx="8">
                  <c:v>Aluguel</c:v>
                </c:pt>
                <c:pt idx="9">
                  <c:v>Seguros</c:v>
                </c:pt>
                <c:pt idx="10">
                  <c:v>Propaganda e Publicidade</c:v>
                </c:pt>
                <c:pt idx="11">
                  <c:v>Depreciação</c:v>
                </c:pt>
                <c:pt idx="12">
                  <c:v>Manutenção</c:v>
                </c:pt>
                <c:pt idx="13">
                  <c:v>Condomínio</c:v>
                </c:pt>
                <c:pt idx="14">
                  <c:v>Despesas de Viagem</c:v>
                </c:pt>
                <c:pt idx="15">
                  <c:v>Serviços de Terceiros</c:v>
                </c:pt>
                <c:pt idx="16">
                  <c:v>Ônibus, Táxis e Selos</c:v>
                </c:pt>
                <c:pt idx="17">
                  <c:v>Outros</c:v>
                </c:pt>
              </c:strCache>
            </c:strRef>
          </c:cat>
          <c:val>
            <c:numRef>
              <c:f>'Custos Fixos Operacionais'!$F$28:$F$49</c:f>
              <c:numCache>
                <c:ptCount val="22"/>
                <c:pt idx="0">
                  <c:v>0</c:v>
                </c:pt>
                <c:pt idx="11">
                  <c:v>0</c:v>
                </c:pt>
                <c:pt idx="17">
                  <c:v>0</c:v>
                </c:pt>
              </c:numCache>
            </c:numRef>
          </c:val>
        </c:ser>
        <c:gapWidth val="100"/>
        <c:axId val="61432286"/>
        <c:axId val="16019663"/>
      </c:bar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16019663"/>
        <c:crosses val="autoZero"/>
        <c:auto val="1"/>
        <c:lblOffset val="100"/>
        <c:noMultiLvlLbl val="0"/>
      </c:catAx>
      <c:valAx>
        <c:axId val="16019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32286"/>
        <c:crossesAt val="1"/>
        <c:crossBetween val="between"/>
        <c:dispUnits/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Previsão Anual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24925"/>
          <c:w val="0.6185"/>
          <c:h val="0.54175"/>
        </c:manualLayout>
      </c:layout>
      <c:lineChart>
        <c:grouping val="standard"/>
        <c:varyColors val="0"/>
        <c:ser>
          <c:idx val="0"/>
          <c:order val="0"/>
          <c:tx>
            <c:strRef>
              <c:f>'Previsão anual'!$A$23</c:f>
              <c:strCache>
                <c:ptCount val="1"/>
                <c:pt idx="0">
                  <c:v> 1. Receita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'Previsão anual'!$B$22:$M$22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'Previsão anual'!$B$23:$M$23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'Previsão anual'!$A$24</c:f>
              <c:strCache>
                <c:ptCount val="1"/>
                <c:pt idx="0">
                  <c:v> 2.Custo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'Previsão anual'!$B$22:$M$22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'Previsão anual'!$B$24:$M$24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'Previsão anual'!$A$25</c:f>
              <c:strCache>
                <c:ptCount val="1"/>
                <c:pt idx="0">
                  <c:v> 7. Resultado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'Previsão anual'!$B$22:$M$22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'Previsão anual'!$B$25:$M$25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59240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01"/>
          <c:y val="0.64975"/>
          <c:w val="0.09"/>
          <c:h val="0.2835"/>
        </c:manualLayout>
      </c:layout>
      <c:overlay val="0"/>
      <c:txPr>
        <a:bodyPr vert="horz" rot="0"/>
        <a:lstStyle/>
        <a:p>
          <a:pPr>
            <a:defRPr lang="en-US" cap="none" sz="2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'Gráfico PE'!$A$3</c:f>
              <c:strCache>
                <c:ptCount val="1"/>
                <c:pt idx="0">
                  <c:v>Vendas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'Gráfico PE'!$B$2:$H$2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'Gráfico PE'!$B$3:$H$3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'Gráfico PE'!$A$4</c:f>
              <c:strCache>
                <c:ptCount val="1"/>
                <c:pt idx="0">
                  <c:v>Custo Total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'Gráfico PE'!$B$2:$H$2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'Gráfico PE'!$B$4:$H$4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'Gráfico PE'!$A$6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'Gráfico PE'!$E$6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'Gráfico PE'!$E$6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392082"/>
        <c:axId val="12528739"/>
      </c:scatterChart>
      <c:valAx>
        <c:axId val="139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Vendas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528739"/>
        <c:crosses val="autoZero"/>
        <c:crossBetween val="midCat"/>
        <c:dispUnits/>
      </c:valAx>
      <c:valAx>
        <c:axId val="12528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847725</xdr:colOff>
      <xdr:row>5</xdr:row>
      <xdr:rowOff>28575</xdr:rowOff>
    </xdr:to>
    <xdr:grpSp>
      <xdr:nvGrpSpPr>
        <xdr:cNvPr id="1" name="Group 72"/>
        <xdr:cNvGrpSpPr>
          <a:grpSpLocks/>
        </xdr:cNvGrpSpPr>
      </xdr:nvGrpSpPr>
      <xdr:grpSpPr>
        <a:xfrm>
          <a:off x="19050" y="0"/>
          <a:ext cx="6334125" cy="857250"/>
          <a:chOff x="41" y="13"/>
          <a:chExt cx="625" cy="74"/>
        </a:xfrm>
        <a:solidFill>
          <a:srgbClr val="FFFFFF"/>
        </a:solidFill>
      </xdr:grpSpPr>
      <xdr:grpSp>
        <xdr:nvGrpSpPr>
          <xdr:cNvPr id="2" name="Group 47"/>
          <xdr:cNvGrpSpPr>
            <a:grpSpLocks/>
          </xdr:cNvGrpSpPr>
        </xdr:nvGrpSpPr>
        <xdr:grpSpPr>
          <a:xfrm>
            <a:off x="115" y="13"/>
            <a:ext cx="551" cy="74"/>
            <a:chOff x="412" y="11"/>
            <a:chExt cx="374" cy="48"/>
          </a:xfrm>
          <a:solidFill>
            <a:srgbClr val="FFFFFF"/>
          </a:solidFill>
        </xdr:grpSpPr>
        <xdr:grpSp>
          <xdr:nvGrpSpPr>
            <xdr:cNvPr id="3" name="Group 42"/>
            <xdr:cNvGrpSpPr>
              <a:grpSpLocks/>
            </xdr:cNvGrpSpPr>
          </xdr:nvGrpSpPr>
          <xdr:grpSpPr>
            <a:xfrm>
              <a:off x="514" y="11"/>
              <a:ext cx="272" cy="48"/>
              <a:chOff x="281" y="12"/>
              <a:chExt cx="403" cy="84"/>
            </a:xfrm>
            <a:solidFill>
              <a:srgbClr val="FFFFFF"/>
            </a:solidFill>
          </xdr:grpSpPr>
          <xdr:pic>
            <xdr:nvPicPr>
              <xdr:cNvPr id="4" name="Picture 38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281" y="12"/>
                <a:ext cx="123" cy="8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5" name="Picture 39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404" y="12"/>
                <a:ext cx="139" cy="8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6" name="Picture 40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541" y="12"/>
                <a:ext cx="93" cy="8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7" name="Picture 41"/>
              <xdr:cNvPicPr preferRelativeResize="1">
                <a:picLocks noChangeAspect="1"/>
              </xdr:cNvPicPr>
            </xdr:nvPicPr>
            <xdr:blipFill>
              <a:blip r:embed="rId4"/>
              <a:stretch>
                <a:fillRect/>
              </a:stretch>
            </xdr:blipFill>
            <xdr:spPr>
              <a:xfrm>
                <a:off x="633" y="12"/>
                <a:ext cx="51" cy="8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pic>
          <xdr:nvPicPr>
            <xdr:cNvPr id="8" name="Picture 44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412" y="11"/>
              <a:ext cx="123" cy="4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9" name="Picture 71"/>
          <xdr:cNvPicPr preferRelativeResize="1">
            <a:picLocks noChangeAspect="1"/>
          </xdr:cNvPicPr>
        </xdr:nvPicPr>
        <xdr:blipFill>
          <a:blip r:embed="rId6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1" y="22"/>
            <a:ext cx="73" cy="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26</xdr:row>
      <xdr:rowOff>142875</xdr:rowOff>
    </xdr:from>
    <xdr:to>
      <xdr:col>8</xdr:col>
      <xdr:colOff>19050</xdr:colOff>
      <xdr:row>32</xdr:row>
      <xdr:rowOff>85725</xdr:rowOff>
    </xdr:to>
    <xdr:sp>
      <xdr:nvSpPr>
        <xdr:cNvPr id="1" name="Rectangle 17"/>
        <xdr:cNvSpPr>
          <a:spLocks/>
        </xdr:cNvSpPr>
      </xdr:nvSpPr>
      <xdr:spPr>
        <a:xfrm>
          <a:off x="4324350" y="5381625"/>
          <a:ext cx="1533525" cy="1057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28</xdr:row>
      <xdr:rowOff>152400</xdr:rowOff>
    </xdr:from>
    <xdr:to>
      <xdr:col>2</xdr:col>
      <xdr:colOff>361950</xdr:colOff>
      <xdr:row>30</xdr:row>
      <xdr:rowOff>85725</xdr:rowOff>
    </xdr:to>
    <xdr:sp>
      <xdr:nvSpPr>
        <xdr:cNvPr id="2" name="Rectangle 16"/>
        <xdr:cNvSpPr>
          <a:spLocks/>
        </xdr:cNvSpPr>
      </xdr:nvSpPr>
      <xdr:spPr>
        <a:xfrm>
          <a:off x="247650" y="5772150"/>
          <a:ext cx="1743075" cy="3143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</xdr:row>
      <xdr:rowOff>95250</xdr:rowOff>
    </xdr:from>
    <xdr:to>
      <xdr:col>5</xdr:col>
      <xdr:colOff>342900</xdr:colOff>
      <xdr:row>5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7622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581025</xdr:colOff>
      <xdr:row>30</xdr:row>
      <xdr:rowOff>133350</xdr:rowOff>
    </xdr:from>
    <xdr:ext cx="1390650" cy="323850"/>
    <xdr:sp>
      <xdr:nvSpPr>
        <xdr:cNvPr id="4" name="TextBox 13"/>
        <xdr:cNvSpPr txBox="1">
          <a:spLocks noChangeArrowheads="1"/>
        </xdr:cNvSpPr>
      </xdr:nvSpPr>
      <xdr:spPr>
        <a:xfrm>
          <a:off x="4352925" y="6134100"/>
          <a:ext cx="1390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*Regime Fiscal das Micro e Empresas de Pequeno Porte do Paraná.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55</xdr:row>
      <xdr:rowOff>76200</xdr:rowOff>
    </xdr:from>
    <xdr:to>
      <xdr:col>10</xdr:col>
      <xdr:colOff>209550</xdr:colOff>
      <xdr:row>77</xdr:row>
      <xdr:rowOff>28575</xdr:rowOff>
    </xdr:to>
    <xdr:graphicFrame>
      <xdr:nvGraphicFramePr>
        <xdr:cNvPr id="1" name="Chart 7"/>
        <xdr:cNvGraphicFramePr/>
      </xdr:nvGraphicFramePr>
      <xdr:xfrm>
        <a:off x="142875" y="10906125"/>
        <a:ext cx="95916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28575</xdr:rowOff>
    </xdr:from>
    <xdr:to>
      <xdr:col>13</xdr:col>
      <xdr:colOff>952500</xdr:colOff>
      <xdr:row>45</xdr:row>
      <xdr:rowOff>142875</xdr:rowOff>
    </xdr:to>
    <xdr:graphicFrame>
      <xdr:nvGraphicFramePr>
        <xdr:cNvPr id="1" name="Chart 4"/>
        <xdr:cNvGraphicFramePr/>
      </xdr:nvGraphicFramePr>
      <xdr:xfrm>
        <a:off x="9525" y="2828925"/>
        <a:ext cx="168402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8</xdr:col>
      <xdr:colOff>609600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190500"/>
        <a:ext cx="71723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C-ECEL\PUBLICO$\Projetos%20de%20Viabilidade\Projetos2001\VOLMIR%20VALCARENGHI%20ME-100177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ício"/>
      <sheetName val="Preenchimento Preliminar"/>
      <sheetName val="Capa"/>
      <sheetName val="Conceito do Negócio"/>
      <sheetName val="Mercado Consumidor"/>
      <sheetName val="Mercado Fornecedor"/>
      <sheetName val="Mercado Concorrente"/>
      <sheetName val="Quadro de Produtos e Serviços"/>
      <sheetName val="Receita Operacional Proj."/>
      <sheetName val="Custo Proj"/>
      <sheetName val="Prazos Médios"/>
      <sheetName val="Investimento Fixo"/>
      <sheetName val="Mão-de-Obra"/>
      <sheetName val="Custos Fixos Operacionais"/>
      <sheetName val="Custos Variáveis"/>
      <sheetName val="Orçamento Receitas e Despesas"/>
      <sheetName val="Previsão anual"/>
      <sheetName val="Avaliação Econômico-Financeira"/>
      <sheetName val="Fluxo de Caixa"/>
      <sheetName val="Ponto de Equilíbrio"/>
      <sheetName val="Gráficos"/>
      <sheetName val="Análise de Sensibilidade"/>
    </sheetNames>
    <sheetDataSet>
      <sheetData sheetId="11">
        <row r="3">
          <cell r="A3" t="str">
            <v>DISCRIMINAÇÃO</v>
          </cell>
          <cell r="B3" t="str">
            <v>VALOR $</v>
          </cell>
        </row>
        <row r="4">
          <cell r="A4" t="str">
            <v>Construções</v>
          </cell>
          <cell r="B4">
            <v>0</v>
          </cell>
        </row>
        <row r="6">
          <cell r="A6" t="str">
            <v>Máquinas e Equipamentos</v>
          </cell>
          <cell r="B6">
            <v>125000</v>
          </cell>
        </row>
        <row r="7">
          <cell r="B7">
            <v>125000</v>
          </cell>
        </row>
        <row r="10">
          <cell r="A10" t="str">
            <v>Móveis e Utensílios</v>
          </cell>
          <cell r="B10">
            <v>9000</v>
          </cell>
        </row>
        <row r="11">
          <cell r="B11">
            <v>9000</v>
          </cell>
        </row>
        <row r="15">
          <cell r="A15" t="str">
            <v>Reformas</v>
          </cell>
          <cell r="B15">
            <v>0</v>
          </cell>
        </row>
        <row r="18">
          <cell r="A18" t="str">
            <v>Taxa de Franquia</v>
          </cell>
          <cell r="B18">
            <v>0</v>
          </cell>
        </row>
        <row r="20">
          <cell r="A20" t="str">
            <v>Veículos</v>
          </cell>
          <cell r="B20">
            <v>0</v>
          </cell>
        </row>
        <row r="23">
          <cell r="A23" t="str">
            <v>Outros</v>
          </cell>
          <cell r="B23">
            <v>6000</v>
          </cell>
        </row>
        <row r="24">
          <cell r="B24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ebraepr.com.br/servlet/page?_pageid=431&amp;_dad=portal30&amp;_schema=PORTAL30&amp;p_macro_tema=1&amp;p_tema=46" TargetMode="External" /><Relationship Id="rId2" Type="http://schemas.openxmlformats.org/officeDocument/2006/relationships/hyperlink" Target="http://www.sebraepr.com.br/servlet/page?_pageid=440&amp;_dad=portal30&amp;_schema=PORTAL30&amp;p_macro_tema=1&amp;p_tema=45" TargetMode="External" /><Relationship Id="rId3" Type="http://schemas.openxmlformats.org/officeDocument/2006/relationships/hyperlink" Target="http://www.sebraepr.com.br/" TargetMode="External" /><Relationship Id="rId4" Type="http://schemas.openxmlformats.org/officeDocument/2006/relationships/comments" Target="../comments15.xml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7">
    <pageSetUpPr fitToPage="1"/>
  </sheetPr>
  <dimension ref="A1:F26"/>
  <sheetViews>
    <sheetView workbookViewId="0" topLeftCell="A1">
      <selection activeCell="A12" sqref="A12"/>
    </sheetView>
  </sheetViews>
  <sheetFormatPr defaultColWidth="9.140625" defaultRowHeight="12.75" zeroHeight="1"/>
  <cols>
    <col min="1" max="1" width="41.421875" style="96" customWidth="1"/>
    <col min="2" max="3" width="10.28125" style="1" customWidth="1"/>
    <col min="4" max="5" width="10.28125" style="96" customWidth="1"/>
    <col min="6" max="6" width="12.8515625" style="96" customWidth="1"/>
    <col min="7" max="16384" width="0" style="1" hidden="1" customWidth="1"/>
  </cols>
  <sheetData>
    <row r="1" spans="2:3" ht="18.75" customHeight="1">
      <c r="B1" s="96"/>
      <c r="C1" s="96"/>
    </row>
    <row r="2" spans="1:3" ht="3" customHeight="1" hidden="1">
      <c r="A2" s="257"/>
      <c r="B2" s="96"/>
      <c r="C2" s="96"/>
    </row>
    <row r="3" spans="2:3" ht="21" customHeight="1">
      <c r="B3" s="96"/>
      <c r="C3" s="96"/>
    </row>
    <row r="4" spans="2:3" ht="12.75">
      <c r="B4" s="96"/>
      <c r="C4" s="96"/>
    </row>
    <row r="5" spans="2:3" ht="12.75" customHeight="1">
      <c r="B5" s="97"/>
      <c r="C5" s="97"/>
    </row>
    <row r="6" spans="2:3" ht="12.75">
      <c r="B6" s="96"/>
      <c r="C6" s="96"/>
    </row>
    <row r="7" spans="1:6" ht="22.5">
      <c r="A7" s="436" t="s">
        <v>253</v>
      </c>
      <c r="B7" s="436"/>
      <c r="C7" s="436"/>
      <c r="D7" s="436"/>
      <c r="E7" s="436"/>
      <c r="F7" s="436"/>
    </row>
    <row r="8" spans="1:3" ht="13.5" customHeight="1">
      <c r="A8" s="118"/>
      <c r="B8" s="96"/>
      <c r="C8" s="96"/>
    </row>
    <row r="9" spans="1:6" ht="13.5" customHeight="1">
      <c r="A9" s="437" t="s">
        <v>272</v>
      </c>
      <c r="B9" s="437"/>
      <c r="C9" s="437"/>
      <c r="D9" s="437"/>
      <c r="E9" s="437"/>
      <c r="F9" s="437"/>
    </row>
    <row r="10" spans="2:6" ht="12.75">
      <c r="B10" s="104"/>
      <c r="C10" s="103"/>
      <c r="D10" s="103"/>
      <c r="E10" s="103"/>
      <c r="F10" s="103"/>
    </row>
    <row r="11" spans="1:6" ht="12.75">
      <c r="A11" s="118" t="s">
        <v>271</v>
      </c>
      <c r="B11" s="104"/>
      <c r="C11" s="118" t="s">
        <v>204</v>
      </c>
      <c r="E11" s="104"/>
      <c r="F11" s="105"/>
    </row>
    <row r="12" spans="1:6" ht="12.75">
      <c r="A12" s="118" t="s">
        <v>274</v>
      </c>
      <c r="B12" s="104"/>
      <c r="C12" s="118" t="s">
        <v>11</v>
      </c>
      <c r="E12" s="104"/>
      <c r="F12" s="105"/>
    </row>
    <row r="13" spans="1:6" ht="12.75">
      <c r="A13" s="118" t="s">
        <v>285</v>
      </c>
      <c r="B13" s="104"/>
      <c r="C13" s="259" t="s">
        <v>12</v>
      </c>
      <c r="D13" s="103"/>
      <c r="E13" s="104"/>
      <c r="F13" s="105"/>
    </row>
    <row r="14" spans="1:6" ht="12.75">
      <c r="A14" s="118" t="s">
        <v>294</v>
      </c>
      <c r="B14" s="104"/>
      <c r="C14" s="259" t="s">
        <v>233</v>
      </c>
      <c r="E14" s="104"/>
      <c r="F14" s="105"/>
    </row>
    <row r="15" spans="1:6" ht="15">
      <c r="A15" s="118" t="s">
        <v>238</v>
      </c>
      <c r="B15" s="106"/>
      <c r="C15" s="259" t="s">
        <v>219</v>
      </c>
      <c r="E15" s="104"/>
      <c r="F15" s="105"/>
    </row>
    <row r="16" spans="1:6" ht="12.75">
      <c r="A16" s="118" t="s">
        <v>13</v>
      </c>
      <c r="B16" s="96"/>
      <c r="C16" s="259" t="s">
        <v>15</v>
      </c>
      <c r="E16" s="104"/>
      <c r="F16" s="105"/>
    </row>
    <row r="17" spans="1:6" ht="12.75">
      <c r="A17" s="118" t="s">
        <v>14</v>
      </c>
      <c r="B17" s="104"/>
      <c r="C17" s="259" t="s">
        <v>234</v>
      </c>
      <c r="E17" s="104"/>
      <c r="F17" s="105"/>
    </row>
    <row r="18" spans="1:6" ht="12.75">
      <c r="A18" s="118" t="s">
        <v>16</v>
      </c>
      <c r="B18" s="104"/>
      <c r="C18" s="259" t="s">
        <v>17</v>
      </c>
      <c r="E18" s="103"/>
      <c r="F18" s="103"/>
    </row>
    <row r="19" spans="2:6" ht="12.75" hidden="1">
      <c r="B19" s="96"/>
      <c r="C19" s="96"/>
      <c r="E19" s="103"/>
      <c r="F19" s="103"/>
    </row>
    <row r="20" spans="2:6" ht="12.75" hidden="1">
      <c r="B20" s="103"/>
      <c r="C20" s="103"/>
      <c r="D20" s="103"/>
      <c r="E20" s="103"/>
      <c r="F20" s="103"/>
    </row>
    <row r="21" spans="1:3" ht="12" hidden="1">
      <c r="A21" s="119"/>
      <c r="B21" s="96"/>
      <c r="C21" s="96"/>
    </row>
    <row r="22" spans="2:3" ht="12" hidden="1">
      <c r="B22" s="96"/>
      <c r="C22" s="96"/>
    </row>
    <row r="23" spans="2:3" ht="12" hidden="1">
      <c r="B23" s="96"/>
      <c r="C23" s="96"/>
    </row>
    <row r="24" spans="2:3" ht="12" hidden="1">
      <c r="B24" s="96"/>
      <c r="C24" s="96"/>
    </row>
    <row r="25" spans="2:3" ht="12" hidden="1">
      <c r="B25" s="96"/>
      <c r="C25" s="96"/>
    </row>
    <row r="26" spans="2:3" ht="12" hidden="1">
      <c r="B26" s="96"/>
      <c r="C26" s="96"/>
    </row>
  </sheetData>
  <sheetProtection password="C02B" sheet="1" objects="1" scenarios="1"/>
  <mergeCells count="2">
    <mergeCell ref="A7:F7"/>
    <mergeCell ref="A9:F9"/>
  </mergeCells>
  <dataValidations count="1">
    <dataValidation allowBlank="1" showInputMessage="1" showErrorMessage="1" promptTitle="Sebrae-PR" prompt="Inicie seu plano de negócios clicando em &quot;Apresentação&quot;!!" sqref="A9:F9"/>
  </dataValidations>
  <hyperlinks>
    <hyperlink ref="A15" location="'Previsão de Vendas e Custos'!A1" display="'Previsão de Vendas e Custos'!A1"/>
    <hyperlink ref="A16" location="'Prazos Médios'!A1" display="'Prazos Médios'!A1"/>
    <hyperlink ref="A17" location="'Investimento Fixo'!A1" display="'Investimento Fixo'!A1"/>
    <hyperlink ref="A18" location="'Mão-de-Obra'!A1" display="'Mão-de-Obra'!A1"/>
    <hyperlink ref="C11" location="'Custos Fixos Operacionais'!A1" display="'Custos Fixos Operacionais'!A1"/>
    <hyperlink ref="C12" location="'Custos Variáveis'!A1" display="'Custos Variáveis'!A1"/>
    <hyperlink ref="C13" location="'Orçamento Receitas e Despesas'!A1" display="'Orçamento Receitas e Despesas'!A1"/>
    <hyperlink ref="C15" location="'Avaliação Econômico-Financeira'!A1" display="'Avaliação Econômico-Financeira'!A1"/>
    <hyperlink ref="C16" location="'Ponto de Equilíbrio'!A1" display="'Ponto de Equilíbrio'!A1"/>
    <hyperlink ref="C18" location="'Análise de Sensibilidade'!A1" display="'Análise de Sensibilidade'!A1"/>
    <hyperlink ref="C14" location="'Previsão anual'!A1" display="'Previsão anual'!A1"/>
    <hyperlink ref="A9" location="Apresentação!A1" display="Apresentação!A1"/>
    <hyperlink ref="A11" location="'Ajuda PN'!A1" display="'Ajuda PN'!A1"/>
    <hyperlink ref="A12" location="'Mercado Consumidor'!B2" display="'Mercado Consumidor'!B2"/>
    <hyperlink ref="A13" location="'Mercado Fornecedor '!B2" display="'Mercado Fornecedor '!B2"/>
    <hyperlink ref="A14" location="'Mercado Concorrente'!A3" display="'Mercado Concorrente'!A3"/>
    <hyperlink ref="C17" location="'Gráfico PE'!A1" display="'Gráfico PE'!A1"/>
  </hyperlinks>
  <printOptions/>
  <pageMargins left="0.75" right="0.75" top="1" bottom="1" header="0.492125985" footer="0.492125985"/>
  <pageSetup fitToHeight="1" fitToWidth="1" horizontalDpi="300" verticalDpi="300" orientation="portrait" scale="94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1:K44"/>
  <sheetViews>
    <sheetView showGridLines="0" zoomScale="75" zoomScaleNormal="75" workbookViewId="0" topLeftCell="A35">
      <selection activeCell="H44" sqref="H44"/>
    </sheetView>
  </sheetViews>
  <sheetFormatPr defaultColWidth="9.140625" defaultRowHeight="12.75" zeroHeight="1"/>
  <cols>
    <col min="1" max="1" width="1.7109375" style="7" customWidth="1"/>
    <col min="2" max="2" width="4.57421875" style="7" customWidth="1"/>
    <col min="3" max="3" width="51.28125" style="1" customWidth="1"/>
    <col min="4" max="4" width="17.00390625" style="1" customWidth="1"/>
    <col min="5" max="5" width="16.421875" style="1" customWidth="1"/>
    <col min="6" max="6" width="17.00390625" style="1" customWidth="1"/>
    <col min="7" max="7" width="10.57421875" style="1" customWidth="1"/>
    <col min="8" max="8" width="10.28125" style="7" customWidth="1"/>
    <col min="9" max="9" width="10.28125" style="151" customWidth="1"/>
    <col min="10" max="10" width="10.28125" style="151" hidden="1" customWidth="1"/>
    <col min="11" max="12" width="10.28125" style="151" customWidth="1"/>
    <col min="13" max="14" width="10.28125" style="151" hidden="1" customWidth="1"/>
    <col min="15" max="15" width="14.421875" style="151" hidden="1" customWidth="1"/>
    <col min="16" max="16" width="0.13671875" style="151" customWidth="1"/>
    <col min="17" max="17" width="10.28125" style="151" hidden="1" customWidth="1"/>
    <col min="18" max="16384" width="10.28125" style="7" hidden="1" customWidth="1"/>
  </cols>
  <sheetData>
    <row r="1" spans="3:8" ht="22.5">
      <c r="C1" s="133"/>
      <c r="D1" s="10"/>
      <c r="E1" s="10"/>
      <c r="F1" s="10"/>
      <c r="G1" s="10"/>
      <c r="H1" s="9"/>
    </row>
    <row r="2" spans="4:8" ht="16.5">
      <c r="D2" s="142"/>
      <c r="E2" s="142"/>
      <c r="F2" s="142"/>
      <c r="G2" s="142"/>
      <c r="H2" s="9"/>
    </row>
    <row r="3" spans="2:11" ht="18">
      <c r="B3" s="440" t="s">
        <v>345</v>
      </c>
      <c r="C3" s="441"/>
      <c r="D3" s="441"/>
      <c r="E3" s="441"/>
      <c r="F3" s="441"/>
      <c r="G3" s="441"/>
      <c r="H3" s="442"/>
      <c r="I3" s="149"/>
      <c r="J3" s="149"/>
      <c r="K3" s="149"/>
    </row>
    <row r="4" spans="2:11" ht="14.25">
      <c r="B4" s="137" t="s">
        <v>276</v>
      </c>
      <c r="C4" s="147"/>
      <c r="D4" s="138"/>
      <c r="E4" s="134"/>
      <c r="F4" s="134"/>
      <c r="G4" s="134"/>
      <c r="H4" s="134"/>
      <c r="I4" s="149"/>
      <c r="J4" s="149"/>
      <c r="K4" s="150"/>
    </row>
    <row r="5" spans="2:11" ht="14.25">
      <c r="B5" s="147"/>
      <c r="C5" s="135" t="s">
        <v>326</v>
      </c>
      <c r="D5" s="147"/>
      <c r="E5" s="134"/>
      <c r="F5" s="134"/>
      <c r="G5" s="134"/>
      <c r="H5" s="134"/>
      <c r="I5" s="149"/>
      <c r="J5" s="149"/>
      <c r="K5" s="150"/>
    </row>
    <row r="6" spans="2:11" ht="14.25">
      <c r="B6" s="147"/>
      <c r="C6" s="135"/>
      <c r="D6" s="147"/>
      <c r="E6" s="134"/>
      <c r="F6" s="134"/>
      <c r="G6" s="134"/>
      <c r="H6" s="134"/>
      <c r="I6" s="149"/>
      <c r="J6" s="149"/>
      <c r="K6" s="150"/>
    </row>
    <row r="7" spans="2:11" ht="14.25">
      <c r="B7" s="140" t="s">
        <v>317</v>
      </c>
      <c r="C7" s="147"/>
      <c r="D7" s="136"/>
      <c r="E7" s="134"/>
      <c r="F7" s="134"/>
      <c r="G7" s="134"/>
      <c r="H7" s="134"/>
      <c r="I7" s="149"/>
      <c r="J7" s="149"/>
      <c r="K7" s="150"/>
    </row>
    <row r="8" spans="2:11" ht="14.25">
      <c r="B8" s="147"/>
      <c r="C8" s="135" t="s">
        <v>318</v>
      </c>
      <c r="D8" s="147"/>
      <c r="E8" s="134"/>
      <c r="F8" s="134"/>
      <c r="G8" s="134"/>
      <c r="H8" s="134"/>
      <c r="I8" s="149"/>
      <c r="J8" s="149"/>
      <c r="K8" s="150"/>
    </row>
    <row r="9" spans="2:11" ht="14.25">
      <c r="B9" s="147"/>
      <c r="C9" s="135" t="s">
        <v>328</v>
      </c>
      <c r="D9" s="147"/>
      <c r="E9" s="134"/>
      <c r="F9" s="134"/>
      <c r="G9" s="134"/>
      <c r="H9" s="134"/>
      <c r="I9" s="149"/>
      <c r="J9" s="149"/>
      <c r="K9" s="150"/>
    </row>
    <row r="10" spans="2:11" ht="14.25">
      <c r="B10" s="147"/>
      <c r="C10" s="135" t="s">
        <v>329</v>
      </c>
      <c r="D10" s="147"/>
      <c r="E10" s="134"/>
      <c r="F10" s="134"/>
      <c r="G10" s="134"/>
      <c r="H10" s="134"/>
      <c r="I10" s="149"/>
      <c r="J10" s="149"/>
      <c r="K10" s="150"/>
    </row>
    <row r="11" spans="2:11" ht="14.25">
      <c r="B11" s="147"/>
      <c r="C11" s="135" t="s">
        <v>319</v>
      </c>
      <c r="D11" s="147"/>
      <c r="E11" s="134"/>
      <c r="F11" s="134"/>
      <c r="G11" s="134"/>
      <c r="H11" s="134"/>
      <c r="I11" s="149"/>
      <c r="J11" s="149"/>
      <c r="K11" s="150"/>
    </row>
    <row r="12" spans="2:11" ht="14.25">
      <c r="B12" s="147"/>
      <c r="C12" s="135" t="s">
        <v>320</v>
      </c>
      <c r="D12" s="147"/>
      <c r="E12" s="134"/>
      <c r="F12" s="134"/>
      <c r="G12" s="134"/>
      <c r="H12" s="134"/>
      <c r="I12" s="149"/>
      <c r="J12" s="149"/>
      <c r="K12" s="150"/>
    </row>
    <row r="13" spans="2:11" ht="14.25">
      <c r="B13" s="147"/>
      <c r="C13" s="135"/>
      <c r="D13" s="147"/>
      <c r="E13" s="134"/>
      <c r="F13" s="134"/>
      <c r="G13" s="134"/>
      <c r="H13" s="134"/>
      <c r="I13" s="149"/>
      <c r="J13" s="149"/>
      <c r="K13" s="150"/>
    </row>
    <row r="14" spans="2:11" ht="14.25">
      <c r="B14" s="140" t="s">
        <v>321</v>
      </c>
      <c r="C14" s="147"/>
      <c r="D14" s="147"/>
      <c r="E14" s="134"/>
      <c r="F14" s="134"/>
      <c r="G14" s="134"/>
      <c r="H14" s="134"/>
      <c r="I14" s="149"/>
      <c r="J14" s="149"/>
      <c r="K14" s="150"/>
    </row>
    <row r="15" spans="2:11" ht="14.25">
      <c r="B15" s="147"/>
      <c r="C15" s="135" t="s">
        <v>322</v>
      </c>
      <c r="D15" s="147"/>
      <c r="E15" s="134"/>
      <c r="F15" s="134"/>
      <c r="G15" s="134"/>
      <c r="H15" s="134"/>
      <c r="I15" s="149"/>
      <c r="J15" s="149"/>
      <c r="K15" s="150"/>
    </row>
    <row r="16" spans="2:11" ht="14.25">
      <c r="B16" s="147"/>
      <c r="C16" s="135" t="s">
        <v>323</v>
      </c>
      <c r="D16" s="147"/>
      <c r="E16" s="134"/>
      <c r="F16" s="134"/>
      <c r="G16" s="134"/>
      <c r="H16" s="134"/>
      <c r="I16" s="149"/>
      <c r="J16" s="149"/>
      <c r="K16" s="150"/>
    </row>
    <row r="17" spans="2:11" ht="14.25">
      <c r="B17" s="147"/>
      <c r="C17" s="135" t="s">
        <v>324</v>
      </c>
      <c r="D17" s="147"/>
      <c r="E17" s="134"/>
      <c r="F17" s="134"/>
      <c r="G17" s="134"/>
      <c r="H17" s="134"/>
      <c r="I17" s="149"/>
      <c r="J17" s="149"/>
      <c r="K17" s="150"/>
    </row>
    <row r="18" spans="2:11" ht="14.25">
      <c r="B18" s="147"/>
      <c r="C18" s="147"/>
      <c r="D18" s="147"/>
      <c r="E18" s="134"/>
      <c r="F18" s="134"/>
      <c r="G18" s="134"/>
      <c r="H18" s="134"/>
      <c r="I18" s="149"/>
      <c r="J18" s="149"/>
      <c r="K18" s="150"/>
    </row>
    <row r="19" spans="2:11" ht="12.75">
      <c r="B19" s="443" t="s">
        <v>325</v>
      </c>
      <c r="C19" s="444"/>
      <c r="D19" s="444"/>
      <c r="E19" s="444"/>
      <c r="F19" s="444"/>
      <c r="G19" s="444"/>
      <c r="H19" s="445"/>
      <c r="I19" s="152"/>
      <c r="J19" s="152"/>
      <c r="K19" s="152"/>
    </row>
    <row r="20" spans="3:8" ht="16.5">
      <c r="C20" s="141"/>
      <c r="D20" s="142"/>
      <c r="E20" s="142"/>
      <c r="F20" s="142"/>
      <c r="G20" s="142"/>
      <c r="H20" s="9"/>
    </row>
    <row r="21" spans="3:8" ht="17.25" thickBot="1">
      <c r="C21" s="141"/>
      <c r="D21" s="142"/>
      <c r="E21" s="142"/>
      <c r="F21" s="142"/>
      <c r="G21" s="142"/>
      <c r="H21" s="9"/>
    </row>
    <row r="22" spans="3:8" ht="44.25" customHeight="1" thickBot="1">
      <c r="C22" s="143" t="s">
        <v>305</v>
      </c>
      <c r="D22" s="144" t="s">
        <v>306</v>
      </c>
      <c r="E22" s="145" t="s">
        <v>307</v>
      </c>
      <c r="F22" s="144" t="s">
        <v>308</v>
      </c>
      <c r="G22" s="146" t="s">
        <v>309</v>
      </c>
      <c r="H22" s="12"/>
    </row>
    <row r="23" spans="2:8" ht="16.5">
      <c r="B23" s="153">
        <v>1</v>
      </c>
      <c r="C23" s="308"/>
      <c r="D23" s="309"/>
      <c r="E23" s="373"/>
      <c r="F23" s="319"/>
      <c r="G23" s="310"/>
      <c r="H23" s="12"/>
    </row>
    <row r="24" spans="2:8" ht="16.5">
      <c r="B24" s="153">
        <v>2</v>
      </c>
      <c r="C24" s="311"/>
      <c r="D24" s="312"/>
      <c r="E24" s="374"/>
      <c r="F24" s="371"/>
      <c r="G24" s="313"/>
      <c r="H24" s="12"/>
    </row>
    <row r="25" spans="2:8" ht="16.5">
      <c r="B25" s="153">
        <v>3</v>
      </c>
      <c r="C25" s="311"/>
      <c r="D25" s="312"/>
      <c r="E25" s="374"/>
      <c r="F25" s="371"/>
      <c r="G25" s="313"/>
      <c r="H25" s="12"/>
    </row>
    <row r="26" spans="2:8" ht="16.5">
      <c r="B26" s="153">
        <v>4</v>
      </c>
      <c r="C26" s="311"/>
      <c r="D26" s="312"/>
      <c r="E26" s="374"/>
      <c r="F26" s="371"/>
      <c r="G26" s="313"/>
      <c r="H26" s="12"/>
    </row>
    <row r="27" spans="2:8" ht="16.5">
      <c r="B27" s="153">
        <v>5</v>
      </c>
      <c r="C27" s="311"/>
      <c r="D27" s="312"/>
      <c r="E27" s="374"/>
      <c r="F27" s="371"/>
      <c r="G27" s="313"/>
      <c r="H27" s="12"/>
    </row>
    <row r="28" spans="2:8" ht="16.5">
      <c r="B28" s="153">
        <v>6</v>
      </c>
      <c r="C28" s="311"/>
      <c r="D28" s="312"/>
      <c r="E28" s="374"/>
      <c r="F28" s="371"/>
      <c r="G28" s="313"/>
      <c r="H28" s="12"/>
    </row>
    <row r="29" spans="2:8" ht="19.5">
      <c r="B29" s="153">
        <v>7</v>
      </c>
      <c r="C29" s="311"/>
      <c r="D29" s="312"/>
      <c r="E29" s="374"/>
      <c r="F29" s="371"/>
      <c r="G29" s="313"/>
      <c r="H29" s="8"/>
    </row>
    <row r="30" spans="2:8" ht="16.5">
      <c r="B30" s="153">
        <v>8</v>
      </c>
      <c r="C30" s="311"/>
      <c r="D30" s="312"/>
      <c r="E30" s="374"/>
      <c r="F30" s="371"/>
      <c r="G30" s="313"/>
      <c r="H30" s="12"/>
    </row>
    <row r="31" spans="2:8" ht="16.5">
      <c r="B31" s="153">
        <v>9</v>
      </c>
      <c r="C31" s="311"/>
      <c r="D31" s="312"/>
      <c r="E31" s="374"/>
      <c r="F31" s="371"/>
      <c r="G31" s="313"/>
      <c r="H31" s="12"/>
    </row>
    <row r="32" spans="2:8" ht="16.5">
      <c r="B32" s="153">
        <v>10</v>
      </c>
      <c r="C32" s="311"/>
      <c r="D32" s="312"/>
      <c r="E32" s="374"/>
      <c r="F32" s="371"/>
      <c r="G32" s="313"/>
      <c r="H32" s="12"/>
    </row>
    <row r="33" spans="2:8" ht="16.5">
      <c r="B33" s="153">
        <v>11</v>
      </c>
      <c r="C33" s="311"/>
      <c r="D33" s="312"/>
      <c r="E33" s="374"/>
      <c r="F33" s="371"/>
      <c r="G33" s="313"/>
      <c r="H33" s="12"/>
    </row>
    <row r="34" spans="2:8" ht="16.5">
      <c r="B34" s="153">
        <v>12</v>
      </c>
      <c r="C34" s="311"/>
      <c r="D34" s="312"/>
      <c r="E34" s="374"/>
      <c r="F34" s="371"/>
      <c r="G34" s="313"/>
      <c r="H34" s="12"/>
    </row>
    <row r="35" spans="2:8" ht="16.5">
      <c r="B35" s="153">
        <v>13</v>
      </c>
      <c r="C35" s="311"/>
      <c r="D35" s="312"/>
      <c r="E35" s="374"/>
      <c r="F35" s="371"/>
      <c r="G35" s="313"/>
      <c r="H35" s="12"/>
    </row>
    <row r="36" spans="2:8" ht="16.5">
      <c r="B36" s="153">
        <v>14</v>
      </c>
      <c r="C36" s="311"/>
      <c r="D36" s="312"/>
      <c r="E36" s="374"/>
      <c r="F36" s="371"/>
      <c r="G36" s="313"/>
      <c r="H36" s="12"/>
    </row>
    <row r="37" spans="2:8" ht="16.5">
      <c r="B37" s="153">
        <v>15</v>
      </c>
      <c r="C37" s="311"/>
      <c r="D37" s="312"/>
      <c r="E37" s="374"/>
      <c r="F37" s="371"/>
      <c r="G37" s="313"/>
      <c r="H37" s="12"/>
    </row>
    <row r="38" spans="2:8" ht="16.5">
      <c r="B38" s="153">
        <v>16</v>
      </c>
      <c r="C38" s="311"/>
      <c r="D38" s="312"/>
      <c r="E38" s="374"/>
      <c r="F38" s="371"/>
      <c r="G38" s="313"/>
      <c r="H38" s="12"/>
    </row>
    <row r="39" spans="2:8" ht="16.5">
      <c r="B39" s="153">
        <v>17</v>
      </c>
      <c r="C39" s="311"/>
      <c r="D39" s="312"/>
      <c r="E39" s="374"/>
      <c r="F39" s="371"/>
      <c r="G39" s="313"/>
      <c r="H39" s="9"/>
    </row>
    <row r="40" spans="2:8" ht="16.5">
      <c r="B40" s="153">
        <v>18</v>
      </c>
      <c r="C40" s="311"/>
      <c r="D40" s="312"/>
      <c r="E40" s="374"/>
      <c r="F40" s="371"/>
      <c r="G40" s="313"/>
      <c r="H40" s="9"/>
    </row>
    <row r="41" spans="2:8" ht="16.5">
      <c r="B41" s="153">
        <v>19</v>
      </c>
      <c r="C41" s="311"/>
      <c r="D41" s="312"/>
      <c r="E41" s="374"/>
      <c r="F41" s="371"/>
      <c r="G41" s="313"/>
      <c r="H41" s="16"/>
    </row>
    <row r="42" spans="2:8" ht="17.25" thickBot="1">
      <c r="B42" s="153">
        <v>20</v>
      </c>
      <c r="C42" s="314"/>
      <c r="D42" s="315"/>
      <c r="E42" s="375"/>
      <c r="F42" s="372"/>
      <c r="G42" s="316"/>
      <c r="H42" s="16"/>
    </row>
    <row r="43" spans="3:7" ht="12.75">
      <c r="C43" s="148" t="s">
        <v>55</v>
      </c>
      <c r="D43" s="107"/>
      <c r="E43" s="107"/>
      <c r="F43" s="107"/>
      <c r="G43" s="107"/>
    </row>
    <row r="44" spans="3:8" ht="12.75">
      <c r="C44" s="131" t="s">
        <v>56</v>
      </c>
      <c r="D44" s="107"/>
      <c r="E44" s="107"/>
      <c r="F44" s="107"/>
      <c r="G44" s="107"/>
      <c r="H44" s="127" t="s">
        <v>273</v>
      </c>
    </row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</sheetData>
  <sheetProtection password="C02B" sheet="1" objects="1" scenarios="1"/>
  <mergeCells count="2">
    <mergeCell ref="B3:H3"/>
    <mergeCell ref="B19:H19"/>
  </mergeCells>
  <conditionalFormatting sqref="G23">
    <cfRule type="expression" priority="1" dxfId="0" stopIfTrue="1">
      <formula>"'Preenchimento Preliminar'!$C$10=1"</formula>
    </cfRule>
  </conditionalFormatting>
  <dataValidations count="1">
    <dataValidation allowBlank="1" showInputMessage="1" showErrorMessage="1" promptTitle="ATENÇÃO!" prompt="Somente preencha se a empresa não se enquadrar no SIMPLES Federal!" sqref="G23:G42"/>
  </dataValidations>
  <hyperlinks>
    <hyperlink ref="H44" location="Início!a16" display="Início!a16"/>
  </hyperlinks>
  <printOptions horizontalCentered="1" verticalCentered="1"/>
  <pageMargins left="0.63" right="0.31" top="0.59" bottom="0.984251968503937" header="0.4" footer="0.5118110236220472"/>
  <pageSetup blackAndWhite="1" fitToHeight="1" fitToWidth="1" horizontalDpi="300" verticalDpi="300" orientation="portrait" scale="76" r:id="rId3"/>
  <headerFooter alignWithMargins="0">
    <oddFooter>&amp;L&amp;D &amp;T&amp;R&amp;F</oddFooter>
  </headerFooter>
  <rowBreaks count="1" manualBreakCount="1">
    <brk id="4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A3:O48"/>
  <sheetViews>
    <sheetView showGridLines="0" zoomScale="75" zoomScaleNormal="75" workbookViewId="0" topLeftCell="A19">
      <selection activeCell="E48" sqref="E48"/>
    </sheetView>
  </sheetViews>
  <sheetFormatPr defaultColWidth="9.140625" defaultRowHeight="12.75" zeroHeight="1"/>
  <cols>
    <col min="1" max="1" width="3.7109375" style="1" customWidth="1"/>
    <col min="2" max="2" width="6.140625" style="1" customWidth="1"/>
    <col min="3" max="3" width="63.140625" style="1" bestFit="1" customWidth="1"/>
    <col min="4" max="4" width="21.140625" style="1" bestFit="1" customWidth="1"/>
    <col min="5" max="5" width="7.140625" style="1" customWidth="1"/>
    <col min="6" max="6" width="7.421875" style="1" customWidth="1"/>
    <col min="7" max="254" width="9.140625" style="1" hidden="1" customWidth="1"/>
    <col min="255" max="16384" width="0" style="1" hidden="1" customWidth="1"/>
  </cols>
  <sheetData>
    <row r="1" ht="12"/>
    <row r="2" ht="12"/>
    <row r="3" spans="1:15" s="7" customFormat="1" ht="18">
      <c r="A3" s="440" t="s">
        <v>344</v>
      </c>
      <c r="B3" s="441"/>
      <c r="C3" s="441"/>
      <c r="D3" s="441"/>
      <c r="E3" s="442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1:15" s="7" customFormat="1" ht="14.25">
      <c r="A4" s="137" t="s">
        <v>276</v>
      </c>
      <c r="B4" s="147"/>
      <c r="C4" s="138"/>
      <c r="D4" s="134"/>
      <c r="E4" s="134"/>
      <c r="F4" s="149"/>
      <c r="G4" s="149"/>
      <c r="H4" s="149"/>
      <c r="I4" s="150"/>
      <c r="J4" s="151"/>
      <c r="K4" s="151"/>
      <c r="L4" s="151"/>
      <c r="M4" s="151"/>
      <c r="N4" s="151"/>
      <c r="O4" s="151"/>
    </row>
    <row r="5" spans="1:15" s="7" customFormat="1" ht="14.25">
      <c r="A5" s="147"/>
      <c r="B5" s="135" t="s">
        <v>339</v>
      </c>
      <c r="C5" s="147"/>
      <c r="D5" s="134"/>
      <c r="E5" s="134"/>
      <c r="F5" s="149"/>
      <c r="G5" s="149"/>
      <c r="H5" s="149"/>
      <c r="I5" s="150"/>
      <c r="J5" s="151"/>
      <c r="K5" s="151"/>
      <c r="L5" s="151"/>
      <c r="M5" s="151"/>
      <c r="N5" s="151"/>
      <c r="O5" s="151"/>
    </row>
    <row r="6" spans="1:15" s="7" customFormat="1" ht="14.25">
      <c r="A6" s="147"/>
      <c r="B6" s="135" t="s">
        <v>340</v>
      </c>
      <c r="C6" s="147"/>
      <c r="D6" s="134"/>
      <c r="E6" s="134"/>
      <c r="F6" s="149"/>
      <c r="G6" s="149"/>
      <c r="H6" s="149"/>
      <c r="I6" s="150"/>
      <c r="J6" s="151"/>
      <c r="K6" s="151"/>
      <c r="L6" s="151"/>
      <c r="M6" s="151"/>
      <c r="N6" s="151"/>
      <c r="O6" s="151"/>
    </row>
    <row r="7" spans="1:6" ht="12">
      <c r="A7" s="147"/>
      <c r="B7" s="147"/>
      <c r="C7" s="147"/>
      <c r="D7" s="147"/>
      <c r="E7" s="147"/>
      <c r="F7" s="151"/>
    </row>
    <row r="8" spans="1:15" s="7" customFormat="1" ht="14.25">
      <c r="A8" s="140" t="s">
        <v>317</v>
      </c>
      <c r="B8" s="147"/>
      <c r="C8" s="136"/>
      <c r="D8" s="134"/>
      <c r="E8" s="134"/>
      <c r="F8" s="149"/>
      <c r="G8" s="149"/>
      <c r="H8" s="149"/>
      <c r="I8" s="150"/>
      <c r="J8" s="151"/>
      <c r="K8" s="151"/>
      <c r="L8" s="151"/>
      <c r="M8" s="151"/>
      <c r="N8" s="151"/>
      <c r="O8" s="151"/>
    </row>
    <row r="9" spans="1:15" s="7" customFormat="1" ht="14.25">
      <c r="A9" s="147"/>
      <c r="B9" s="135" t="s">
        <v>330</v>
      </c>
      <c r="C9" s="147"/>
      <c r="D9" s="134"/>
      <c r="E9" s="134"/>
      <c r="F9" s="149"/>
      <c r="G9" s="149"/>
      <c r="H9" s="149"/>
      <c r="I9" s="150"/>
      <c r="J9" s="151"/>
      <c r="K9" s="151"/>
      <c r="L9" s="151"/>
      <c r="M9" s="151"/>
      <c r="N9" s="151"/>
      <c r="O9" s="151"/>
    </row>
    <row r="10" spans="1:15" s="7" customFormat="1" ht="14.25">
      <c r="A10" s="147"/>
      <c r="B10" s="135" t="s">
        <v>331</v>
      </c>
      <c r="C10" s="147"/>
      <c r="D10" s="134"/>
      <c r="E10" s="134"/>
      <c r="F10" s="149"/>
      <c r="G10" s="149"/>
      <c r="H10" s="149"/>
      <c r="I10" s="150"/>
      <c r="J10" s="151"/>
      <c r="K10" s="151"/>
      <c r="L10" s="151"/>
      <c r="M10" s="151"/>
      <c r="N10" s="151"/>
      <c r="O10" s="151"/>
    </row>
    <row r="11" spans="1:15" s="7" customFormat="1" ht="14.25">
      <c r="A11" s="147"/>
      <c r="B11" s="135" t="s">
        <v>332</v>
      </c>
      <c r="C11" s="147"/>
      <c r="D11" s="134"/>
      <c r="E11" s="134"/>
      <c r="F11" s="149"/>
      <c r="G11" s="149"/>
      <c r="H11" s="149"/>
      <c r="I11" s="150"/>
      <c r="J11" s="151"/>
      <c r="K11" s="151"/>
      <c r="L11" s="151"/>
      <c r="M11" s="151"/>
      <c r="N11" s="151"/>
      <c r="O11" s="151"/>
    </row>
    <row r="12" spans="1:15" s="7" customFormat="1" ht="14.25">
      <c r="A12" s="147"/>
      <c r="B12" s="135" t="s">
        <v>333</v>
      </c>
      <c r="C12" s="147"/>
      <c r="D12" s="134"/>
      <c r="E12" s="134"/>
      <c r="F12" s="149"/>
      <c r="G12" s="149"/>
      <c r="H12" s="149"/>
      <c r="I12" s="150"/>
      <c r="J12" s="151"/>
      <c r="K12" s="151"/>
      <c r="L12" s="151"/>
      <c r="M12" s="151"/>
      <c r="N12" s="151"/>
      <c r="O12" s="151"/>
    </row>
    <row r="13" spans="1:15" s="7" customFormat="1" ht="14.25">
      <c r="A13" s="147"/>
      <c r="B13" s="135" t="s">
        <v>334</v>
      </c>
      <c r="C13" s="147"/>
      <c r="D13" s="134"/>
      <c r="E13" s="134"/>
      <c r="F13" s="149"/>
      <c r="G13" s="149"/>
      <c r="H13" s="149"/>
      <c r="I13" s="150"/>
      <c r="J13" s="151"/>
      <c r="K13" s="151"/>
      <c r="L13" s="151"/>
      <c r="M13" s="151"/>
      <c r="N13" s="151"/>
      <c r="O13" s="151"/>
    </row>
    <row r="14" spans="1:15" s="7" customFormat="1" ht="14.25">
      <c r="A14" s="147"/>
      <c r="B14" s="135" t="s">
        <v>335</v>
      </c>
      <c r="C14" s="147"/>
      <c r="D14" s="134"/>
      <c r="E14" s="134"/>
      <c r="F14" s="149"/>
      <c r="G14" s="149"/>
      <c r="H14" s="149"/>
      <c r="I14" s="150"/>
      <c r="J14" s="151"/>
      <c r="K14" s="151"/>
      <c r="L14" s="151"/>
      <c r="M14" s="151"/>
      <c r="N14" s="151"/>
      <c r="O14" s="151"/>
    </row>
    <row r="15" spans="1:15" s="7" customFormat="1" ht="14.25">
      <c r="A15" s="147"/>
      <c r="B15" s="147"/>
      <c r="C15" s="147"/>
      <c r="D15" s="134"/>
      <c r="E15" s="134"/>
      <c r="F15" s="149"/>
      <c r="G15" s="149"/>
      <c r="H15" s="149"/>
      <c r="I15" s="150"/>
      <c r="J15" s="151"/>
      <c r="K15" s="151"/>
      <c r="L15" s="151"/>
      <c r="M15" s="151"/>
      <c r="N15" s="151"/>
      <c r="O15" s="151"/>
    </row>
    <row r="16" spans="1:15" s="7" customFormat="1" ht="14.25">
      <c r="A16" s="140" t="s">
        <v>321</v>
      </c>
      <c r="B16" s="147"/>
      <c r="C16" s="147"/>
      <c r="D16" s="134"/>
      <c r="E16" s="134"/>
      <c r="F16" s="149"/>
      <c r="G16" s="149"/>
      <c r="H16" s="149"/>
      <c r="I16" s="150"/>
      <c r="J16" s="151"/>
      <c r="K16" s="151"/>
      <c r="L16" s="151"/>
      <c r="M16" s="151"/>
      <c r="N16" s="151"/>
      <c r="O16" s="151"/>
    </row>
    <row r="17" spans="1:15" s="7" customFormat="1" ht="14.25">
      <c r="A17" s="147"/>
      <c r="B17" s="135" t="s">
        <v>327</v>
      </c>
      <c r="C17" s="147"/>
      <c r="D17" s="134"/>
      <c r="E17" s="134"/>
      <c r="F17" s="149"/>
      <c r="G17" s="149"/>
      <c r="H17" s="149"/>
      <c r="I17" s="150"/>
      <c r="J17" s="151"/>
      <c r="K17" s="151"/>
      <c r="L17" s="151"/>
      <c r="M17" s="151"/>
      <c r="N17" s="151"/>
      <c r="O17" s="151"/>
    </row>
    <row r="18" spans="1:15" s="7" customFormat="1" ht="14.25">
      <c r="A18" s="147"/>
      <c r="B18" s="135" t="s">
        <v>336</v>
      </c>
      <c r="C18" s="147"/>
      <c r="D18" s="134"/>
      <c r="E18" s="134"/>
      <c r="F18" s="149"/>
      <c r="G18" s="149"/>
      <c r="H18" s="149"/>
      <c r="I18" s="150"/>
      <c r="J18" s="151"/>
      <c r="K18" s="151"/>
      <c r="L18" s="151"/>
      <c r="M18" s="151"/>
      <c r="N18" s="151"/>
      <c r="O18" s="151"/>
    </row>
    <row r="19" spans="1:15" s="7" customFormat="1" ht="14.25">
      <c r="A19" s="147"/>
      <c r="B19" s="135" t="s">
        <v>337</v>
      </c>
      <c r="C19" s="147"/>
      <c r="D19" s="134"/>
      <c r="E19" s="134"/>
      <c r="F19" s="149"/>
      <c r="G19" s="149"/>
      <c r="H19" s="149"/>
      <c r="I19" s="150"/>
      <c r="J19" s="151"/>
      <c r="K19" s="151"/>
      <c r="L19" s="151"/>
      <c r="M19" s="151"/>
      <c r="N19" s="151"/>
      <c r="O19" s="151"/>
    </row>
    <row r="20" spans="1:15" s="7" customFormat="1" ht="14.25">
      <c r="A20" s="147"/>
      <c r="B20" s="135" t="s">
        <v>338</v>
      </c>
      <c r="C20" s="147"/>
      <c r="D20" s="134"/>
      <c r="E20" s="134"/>
      <c r="F20" s="149"/>
      <c r="G20" s="149"/>
      <c r="H20" s="149"/>
      <c r="I20" s="150"/>
      <c r="J20" s="151"/>
      <c r="K20" s="151"/>
      <c r="L20" s="151"/>
      <c r="M20" s="151"/>
      <c r="N20" s="151"/>
      <c r="O20" s="151"/>
    </row>
    <row r="21" spans="1:15" s="7" customFormat="1" ht="14.25">
      <c r="A21" s="147"/>
      <c r="B21" s="135"/>
      <c r="C21" s="147"/>
      <c r="D21" s="134"/>
      <c r="E21" s="134"/>
      <c r="F21" s="149"/>
      <c r="G21" s="149"/>
      <c r="H21" s="149"/>
      <c r="I21" s="150"/>
      <c r="J21" s="151"/>
      <c r="K21" s="151"/>
      <c r="L21" s="151"/>
      <c r="M21" s="151"/>
      <c r="N21" s="151"/>
      <c r="O21" s="151"/>
    </row>
    <row r="22" spans="1:15" s="7" customFormat="1" ht="12.75">
      <c r="A22" s="443" t="s">
        <v>325</v>
      </c>
      <c r="B22" s="444"/>
      <c r="C22" s="444"/>
      <c r="D22" s="444"/>
      <c r="E22" s="445"/>
      <c r="F22" s="152"/>
      <c r="G22" s="152"/>
      <c r="H22" s="152"/>
      <c r="I22" s="152"/>
      <c r="J22" s="151"/>
      <c r="K22" s="151"/>
      <c r="L22" s="151"/>
      <c r="M22" s="151"/>
      <c r="N22" s="151"/>
      <c r="O22" s="151"/>
    </row>
    <row r="23" ht="12"/>
    <row r="24" ht="12"/>
    <row r="25" spans="3:5" s="107" customFormat="1" ht="18">
      <c r="C25" s="307" t="s">
        <v>57</v>
      </c>
      <c r="D25" s="154"/>
      <c r="E25" s="154"/>
    </row>
    <row r="26" spans="3:5" s="107" customFormat="1" ht="18">
      <c r="C26" s="155"/>
      <c r="D26" s="154"/>
      <c r="E26" s="154"/>
    </row>
    <row r="27" spans="3:5" s="107" customFormat="1" ht="15" thickBot="1">
      <c r="C27" s="128"/>
      <c r="D27" s="128"/>
      <c r="E27" s="128"/>
    </row>
    <row r="28" spans="3:5" s="107" customFormat="1" ht="14.25">
      <c r="C28" s="156" t="s">
        <v>349</v>
      </c>
      <c r="D28" s="157"/>
      <c r="E28" s="157"/>
    </row>
    <row r="29" spans="3:5" s="107" customFormat="1" ht="14.25">
      <c r="C29" s="158" t="s">
        <v>58</v>
      </c>
      <c r="D29" s="159" t="s">
        <v>29</v>
      </c>
      <c r="E29" s="159" t="s">
        <v>59</v>
      </c>
    </row>
    <row r="30" spans="3:5" s="107" customFormat="1" ht="14.25">
      <c r="C30" s="160" t="s">
        <v>60</v>
      </c>
      <c r="D30" s="161">
        <f>100-D31</f>
        <v>100</v>
      </c>
      <c r="E30" s="162" t="s">
        <v>61</v>
      </c>
    </row>
    <row r="31" spans="3:5" s="107" customFormat="1" ht="15" thickBot="1">
      <c r="C31" s="163" t="s">
        <v>62</v>
      </c>
      <c r="D31" s="164"/>
      <c r="E31" s="165"/>
    </row>
    <row r="32" spans="3:5" s="107" customFormat="1" ht="15" thickBot="1">
      <c r="C32" s="170" t="s">
        <v>352</v>
      </c>
      <c r="D32" s="166" t="s">
        <v>63</v>
      </c>
      <c r="E32" s="167">
        <f>E31*D31/100</f>
        <v>0</v>
      </c>
    </row>
    <row r="33" spans="3:5" s="107" customFormat="1" ht="14.25">
      <c r="C33" s="170" t="s">
        <v>353</v>
      </c>
      <c r="D33" s="128"/>
      <c r="E33" s="128"/>
    </row>
    <row r="34" spans="3:5" s="107" customFormat="1" ht="18">
      <c r="C34" s="307" t="s">
        <v>64</v>
      </c>
      <c r="D34" s="154"/>
      <c r="E34" s="154"/>
    </row>
    <row r="35" spans="3:5" s="107" customFormat="1" ht="18.75" thickBot="1">
      <c r="C35" s="154"/>
      <c r="D35" s="154"/>
      <c r="E35" s="154"/>
    </row>
    <row r="36" spans="3:5" s="107" customFormat="1" ht="15" thickBot="1">
      <c r="C36" s="175" t="s">
        <v>350</v>
      </c>
      <c r="D36" s="455" t="s">
        <v>29</v>
      </c>
      <c r="E36" s="455" t="s">
        <v>59</v>
      </c>
    </row>
    <row r="37" spans="3:5" s="107" customFormat="1" ht="15" thickBot="1">
      <c r="C37" s="174" t="s">
        <v>65</v>
      </c>
      <c r="D37" s="435"/>
      <c r="E37" s="435"/>
    </row>
    <row r="38" spans="3:5" s="107" customFormat="1" ht="14.25">
      <c r="C38" s="160" t="s">
        <v>66</v>
      </c>
      <c r="D38" s="176">
        <f>100-D39</f>
        <v>100</v>
      </c>
      <c r="E38" s="159" t="s">
        <v>61</v>
      </c>
    </row>
    <row r="39" spans="3:5" s="107" customFormat="1" ht="15" thickBot="1">
      <c r="C39" s="163" t="s">
        <v>67</v>
      </c>
      <c r="D39" s="164"/>
      <c r="E39" s="169"/>
    </row>
    <row r="40" spans="3:5" s="107" customFormat="1" ht="15" thickBot="1">
      <c r="C40" s="170" t="s">
        <v>68</v>
      </c>
      <c r="D40" s="129" t="s">
        <v>63</v>
      </c>
      <c r="E40" s="171">
        <f>E39*D39/100</f>
        <v>0</v>
      </c>
    </row>
    <row r="41" spans="3:5" s="107" customFormat="1" ht="15">
      <c r="C41" s="170" t="s">
        <v>69</v>
      </c>
      <c r="D41" s="172"/>
      <c r="E41" s="128"/>
    </row>
    <row r="42" spans="3:5" s="107" customFormat="1" ht="14.25">
      <c r="C42" s="128"/>
      <c r="D42" s="128"/>
      <c r="E42" s="128"/>
    </row>
    <row r="43" spans="3:5" s="107" customFormat="1" ht="18.75" thickBot="1">
      <c r="C43" s="154" t="s">
        <v>70</v>
      </c>
      <c r="E43" s="173"/>
    </row>
    <row r="44" spans="3:5" s="107" customFormat="1" ht="15" thickBot="1">
      <c r="C44" s="128"/>
      <c r="D44" s="177" t="s">
        <v>59</v>
      </c>
      <c r="E44" s="168"/>
    </row>
    <row r="45" spans="3:4" s="107" customFormat="1" ht="15" thickBot="1">
      <c r="C45" s="178" t="s">
        <v>351</v>
      </c>
      <c r="D45" s="414"/>
    </row>
    <row r="46" spans="3:5" s="107" customFormat="1" ht="14.25">
      <c r="C46" s="170" t="s">
        <v>72</v>
      </c>
      <c r="D46" s="128"/>
      <c r="E46" s="128"/>
    </row>
    <row r="47" spans="3:5" s="107" customFormat="1" ht="14.25">
      <c r="C47" s="170" t="s">
        <v>73</v>
      </c>
      <c r="D47" s="128"/>
      <c r="E47" s="128"/>
    </row>
    <row r="48" spans="3:5" ht="16.5">
      <c r="C48" s="9"/>
      <c r="D48" s="9"/>
      <c r="E48" s="434" t="s">
        <v>273</v>
      </c>
    </row>
    <row r="49" ht="12" hidden="1"/>
    <row r="50" ht="12" hidden="1"/>
    <row r="51" ht="12" hidden="1"/>
    <row r="52" ht="12" hidden="1"/>
    <row r="53" ht="12"/>
  </sheetData>
  <sheetProtection password="C02B" sheet="1" objects="1" scenarios="1"/>
  <mergeCells count="4">
    <mergeCell ref="A3:E3"/>
    <mergeCell ref="A22:E22"/>
    <mergeCell ref="D36:D37"/>
    <mergeCell ref="E36:E37"/>
  </mergeCells>
  <hyperlinks>
    <hyperlink ref="E48" location="Início!a17" display="Início!a17"/>
  </hyperlinks>
  <printOptions/>
  <pageMargins left="0.5" right="0.36" top="1" bottom="1" header="0.68" footer="0.492125985"/>
  <pageSetup blackAndWhite="1" horizontalDpi="300" verticalDpi="300" orientation="portrait" scale="95" r:id="rId1"/>
  <headerFooter alignWithMargins="0">
    <oddFooter>&amp;L&amp;D &amp;T&amp;R&amp;F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6"/>
  <dimension ref="A3:F50"/>
  <sheetViews>
    <sheetView showGridLines="0" zoomScale="75" zoomScaleNormal="75" workbookViewId="0" topLeftCell="A16">
      <selection activeCell="F49" sqref="F49"/>
    </sheetView>
  </sheetViews>
  <sheetFormatPr defaultColWidth="9.140625" defaultRowHeight="12.75" zeroHeight="1"/>
  <cols>
    <col min="1" max="1" width="4.57421875" style="1" customWidth="1"/>
    <col min="2" max="2" width="1.7109375" style="1" customWidth="1"/>
    <col min="3" max="3" width="57.57421875" style="1" customWidth="1"/>
    <col min="4" max="4" width="26.140625" style="1" customWidth="1"/>
    <col min="5" max="6" width="10.28125" style="1" customWidth="1"/>
    <col min="7" max="16384" width="10.28125" style="1" hidden="1" customWidth="1"/>
  </cols>
  <sheetData>
    <row r="1" ht="12"/>
    <row r="2" ht="12"/>
    <row r="3" spans="1:5" ht="18">
      <c r="A3" s="440" t="s">
        <v>343</v>
      </c>
      <c r="B3" s="441"/>
      <c r="C3" s="441"/>
      <c r="D3" s="441"/>
      <c r="E3" s="442"/>
    </row>
    <row r="4" spans="1:5" ht="14.25">
      <c r="A4" s="137" t="s">
        <v>276</v>
      </c>
      <c r="B4" s="147"/>
      <c r="C4" s="138"/>
      <c r="D4" s="134"/>
      <c r="E4" s="147"/>
    </row>
    <row r="5" spans="1:5" ht="14.25">
      <c r="A5" s="147"/>
      <c r="B5" s="135" t="s">
        <v>341</v>
      </c>
      <c r="C5" s="147"/>
      <c r="D5" s="134"/>
      <c r="E5" s="147"/>
    </row>
    <row r="6" spans="1:5" ht="14.25">
      <c r="A6" s="147"/>
      <c r="B6" s="135" t="s">
        <v>342</v>
      </c>
      <c r="C6" s="147"/>
      <c r="D6" s="134"/>
      <c r="E6" s="147"/>
    </row>
    <row r="7" spans="1:5" ht="12">
      <c r="A7" s="147"/>
      <c r="B7" s="147"/>
      <c r="C7" s="147"/>
      <c r="D7" s="147"/>
      <c r="E7" s="147"/>
    </row>
    <row r="8" spans="1:5" ht="14.25">
      <c r="A8" s="140" t="s">
        <v>317</v>
      </c>
      <c r="B8" s="147"/>
      <c r="C8" s="136"/>
      <c r="D8" s="134"/>
      <c r="E8" s="147"/>
    </row>
    <row r="9" spans="1:5" ht="14.25">
      <c r="A9" s="147"/>
      <c r="B9" s="135" t="s">
        <v>361</v>
      </c>
      <c r="C9" s="147"/>
      <c r="D9" s="134"/>
      <c r="E9" s="147"/>
    </row>
    <row r="10" spans="1:5" ht="14.25">
      <c r="A10" s="147"/>
      <c r="B10" s="135" t="s">
        <v>362</v>
      </c>
      <c r="C10" s="147"/>
      <c r="D10" s="134"/>
      <c r="E10" s="147"/>
    </row>
    <row r="11" spans="1:5" ht="14.25">
      <c r="A11" s="147"/>
      <c r="B11" s="147"/>
      <c r="C11" s="147"/>
      <c r="D11" s="134"/>
      <c r="E11" s="147"/>
    </row>
    <row r="12" spans="1:5" ht="14.25">
      <c r="A12" s="140" t="s">
        <v>321</v>
      </c>
      <c r="B12" s="147"/>
      <c r="C12" s="147"/>
      <c r="D12" s="134"/>
      <c r="E12" s="147"/>
    </row>
    <row r="13" spans="1:5" ht="14.25">
      <c r="A13" s="147"/>
      <c r="B13" s="135" t="s">
        <v>355</v>
      </c>
      <c r="C13" s="147"/>
      <c r="D13" s="134"/>
      <c r="E13" s="147"/>
    </row>
    <row r="14" spans="1:5" ht="14.25">
      <c r="A14" s="147"/>
      <c r="B14" s="135" t="s">
        <v>356</v>
      </c>
      <c r="C14" s="147"/>
      <c r="D14" s="134"/>
      <c r="E14" s="147"/>
    </row>
    <row r="15" spans="1:5" ht="14.25">
      <c r="A15" s="147"/>
      <c r="B15" s="135" t="s">
        <v>354</v>
      </c>
      <c r="C15" s="147"/>
      <c r="D15" s="134"/>
      <c r="E15" s="147"/>
    </row>
    <row r="16" spans="1:5" ht="14.25">
      <c r="A16" s="147"/>
      <c r="B16" s="135" t="s">
        <v>357</v>
      </c>
      <c r="C16" s="147"/>
      <c r="D16" s="134"/>
      <c r="E16" s="147"/>
    </row>
    <row r="17" spans="1:5" ht="14.25">
      <c r="A17" s="147"/>
      <c r="B17" s="135" t="s">
        <v>358</v>
      </c>
      <c r="C17" s="147"/>
      <c r="D17" s="134"/>
      <c r="E17" s="147"/>
    </row>
    <row r="18" spans="1:5" ht="14.25">
      <c r="A18" s="147"/>
      <c r="B18" s="135" t="s">
        <v>360</v>
      </c>
      <c r="C18" s="147"/>
      <c r="D18" s="134"/>
      <c r="E18" s="147"/>
    </row>
    <row r="19" spans="1:5" ht="14.25">
      <c r="A19" s="147"/>
      <c r="B19" s="135" t="s">
        <v>359</v>
      </c>
      <c r="C19" s="147"/>
      <c r="D19" s="134"/>
      <c r="E19" s="147"/>
    </row>
    <row r="20" spans="1:5" ht="12.75">
      <c r="A20" s="443" t="s">
        <v>325</v>
      </c>
      <c r="B20" s="444"/>
      <c r="C20" s="444"/>
      <c r="D20" s="444"/>
      <c r="E20" s="445"/>
    </row>
    <row r="21" ht="12"/>
    <row r="22" spans="3:4" ht="27.75" customHeight="1">
      <c r="C22" s="18"/>
      <c r="D22" s="18"/>
    </row>
    <row r="23" spans="1:4" ht="14.25">
      <c r="A23" s="107"/>
      <c r="B23" s="107"/>
      <c r="C23" s="187" t="s">
        <v>74</v>
      </c>
      <c r="D23" s="180" t="s">
        <v>75</v>
      </c>
    </row>
    <row r="24" spans="1:4" ht="14.25">
      <c r="A24" s="107"/>
      <c r="B24" s="107"/>
      <c r="C24" s="187" t="s">
        <v>76</v>
      </c>
      <c r="D24" s="188">
        <f>(D25)</f>
        <v>0</v>
      </c>
    </row>
    <row r="25" spans="1:4" ht="14.25">
      <c r="A25" s="107"/>
      <c r="B25" s="107"/>
      <c r="C25" s="317"/>
      <c r="D25" s="318"/>
    </row>
    <row r="26" spans="1:4" ht="14.25">
      <c r="A26" s="107"/>
      <c r="B26" s="107"/>
      <c r="C26" s="187" t="s">
        <v>77</v>
      </c>
      <c r="D26" s="188">
        <f>SUM(D27:D29)</f>
        <v>0</v>
      </c>
    </row>
    <row r="27" spans="1:4" ht="14.25">
      <c r="A27" s="107"/>
      <c r="B27" s="107"/>
      <c r="C27" s="317"/>
      <c r="D27" s="318"/>
    </row>
    <row r="28" spans="1:4" ht="14.25">
      <c r="A28" s="107"/>
      <c r="B28" s="107"/>
      <c r="C28" s="317"/>
      <c r="D28" s="318"/>
    </row>
    <row r="29" spans="1:4" ht="14.25">
      <c r="A29" s="107"/>
      <c r="B29" s="107"/>
      <c r="C29" s="317"/>
      <c r="D29" s="318"/>
    </row>
    <row r="30" spans="1:4" ht="14.25">
      <c r="A30" s="107"/>
      <c r="B30" s="107"/>
      <c r="C30" s="187" t="s">
        <v>78</v>
      </c>
      <c r="D30" s="188">
        <f>SUM(D31:D34)</f>
        <v>0</v>
      </c>
    </row>
    <row r="31" spans="1:4" ht="14.25">
      <c r="A31" s="107"/>
      <c r="B31" s="107"/>
      <c r="C31" s="317"/>
      <c r="D31" s="318"/>
    </row>
    <row r="32" spans="1:4" ht="14.25">
      <c r="A32" s="107"/>
      <c r="B32" s="107"/>
      <c r="C32" s="317"/>
      <c r="D32" s="318"/>
    </row>
    <row r="33" spans="1:4" ht="14.25">
      <c r="A33" s="107"/>
      <c r="B33" s="107"/>
      <c r="C33" s="317"/>
      <c r="D33" s="318"/>
    </row>
    <row r="34" spans="1:4" ht="14.25">
      <c r="A34" s="107"/>
      <c r="B34" s="107"/>
      <c r="C34" s="317"/>
      <c r="D34" s="318"/>
    </row>
    <row r="35" spans="1:4" ht="14.25">
      <c r="A35" s="107"/>
      <c r="B35" s="107"/>
      <c r="C35" s="187" t="s">
        <v>84</v>
      </c>
      <c r="D35" s="188">
        <f>SUM(D36:D37)</f>
        <v>0</v>
      </c>
    </row>
    <row r="36" spans="1:4" ht="14.25">
      <c r="A36" s="107"/>
      <c r="B36" s="107"/>
      <c r="C36" s="317"/>
      <c r="D36" s="318"/>
    </row>
    <row r="37" spans="1:4" ht="14.25">
      <c r="A37" s="107"/>
      <c r="B37" s="107"/>
      <c r="C37" s="317"/>
      <c r="D37" s="318"/>
    </row>
    <row r="38" spans="1:4" ht="14.25">
      <c r="A38" s="107"/>
      <c r="B38" s="107"/>
      <c r="C38" s="187" t="s">
        <v>85</v>
      </c>
      <c r="D38" s="188">
        <f>D39</f>
        <v>0</v>
      </c>
    </row>
    <row r="39" spans="1:4" ht="14.25">
      <c r="A39" s="107"/>
      <c r="B39" s="107"/>
      <c r="C39" s="317"/>
      <c r="D39" s="318"/>
    </row>
    <row r="40" spans="1:4" ht="14.25">
      <c r="A40" s="107"/>
      <c r="B40" s="107"/>
      <c r="C40" s="187" t="s">
        <v>79</v>
      </c>
      <c r="D40" s="188">
        <f>SUM(D41:D42)</f>
        <v>0</v>
      </c>
    </row>
    <row r="41" spans="1:4" ht="14.25">
      <c r="A41" s="107"/>
      <c r="B41" s="107"/>
      <c r="C41" s="317"/>
      <c r="D41" s="318"/>
    </row>
    <row r="42" spans="1:4" ht="14.25">
      <c r="A42" s="107"/>
      <c r="B42" s="107"/>
      <c r="C42" s="317"/>
      <c r="D42" s="318"/>
    </row>
    <row r="43" spans="1:4" ht="14.25">
      <c r="A43" s="107"/>
      <c r="B43" s="107"/>
      <c r="C43" s="187" t="s">
        <v>80</v>
      </c>
      <c r="D43" s="188">
        <f>SUM(D44:D46)</f>
        <v>0</v>
      </c>
    </row>
    <row r="44" spans="1:4" ht="14.25">
      <c r="A44" s="107"/>
      <c r="B44" s="107"/>
      <c r="C44" s="317"/>
      <c r="D44" s="318"/>
    </row>
    <row r="45" spans="1:4" ht="14.25">
      <c r="A45" s="107"/>
      <c r="B45" s="107"/>
      <c r="C45" s="317"/>
      <c r="D45" s="318"/>
    </row>
    <row r="46" spans="1:4" ht="14.25">
      <c r="A46" s="107"/>
      <c r="B46" s="107"/>
      <c r="C46" s="317"/>
      <c r="D46" s="318"/>
    </row>
    <row r="47" spans="1:4" ht="14.25">
      <c r="A47" s="107"/>
      <c r="B47" s="107"/>
      <c r="C47" s="187" t="s">
        <v>81</v>
      </c>
      <c r="D47" s="188">
        <f>(D24+D35+D26+D30+D40+D43+D38)</f>
        <v>0</v>
      </c>
    </row>
    <row r="48" spans="1:4" ht="14.25">
      <c r="A48" s="107"/>
      <c r="B48" s="107"/>
      <c r="C48" s="189" t="s">
        <v>82</v>
      </c>
      <c r="D48" s="128"/>
    </row>
    <row r="49" spans="1:6" ht="14.25">
      <c r="A49" s="107"/>
      <c r="B49" s="107"/>
      <c r="C49" s="189" t="s">
        <v>83</v>
      </c>
      <c r="D49" s="128"/>
      <c r="F49" s="433" t="s">
        <v>273</v>
      </c>
    </row>
    <row r="50" spans="3:4" ht="16.5" hidden="1">
      <c r="C50" s="11"/>
      <c r="D50" s="11"/>
    </row>
  </sheetData>
  <sheetProtection password="C02B" sheet="1" objects="1" scenarios="1"/>
  <mergeCells count="2">
    <mergeCell ref="A3:E3"/>
    <mergeCell ref="A20:E20"/>
  </mergeCells>
  <hyperlinks>
    <hyperlink ref="F49" location="Início!a18" display="Início!a18"/>
  </hyperlinks>
  <printOptions horizontalCentered="1" verticalCentered="1"/>
  <pageMargins left="0.7874015748031497" right="0.7874015748031497" top="0.66" bottom="0.984251968503937" header="0.66" footer="0.5118110236220472"/>
  <pageSetup blackAndWhite="1" horizontalDpi="300" verticalDpi="300" orientation="portrait" scale="81" r:id="rId1"/>
  <headerFooter alignWithMargins="0">
    <oddFooter>&amp;L&amp;D &amp;T&amp;R&amp;F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7"/>
  <dimension ref="A3:H44"/>
  <sheetViews>
    <sheetView showGridLines="0" zoomScale="75" zoomScaleNormal="75" workbookViewId="0" topLeftCell="A10">
      <selection activeCell="G38" sqref="G38"/>
    </sheetView>
  </sheetViews>
  <sheetFormatPr defaultColWidth="9.140625" defaultRowHeight="12.75" zeroHeight="1"/>
  <cols>
    <col min="1" max="1" width="3.57421875" style="18" customWidth="1"/>
    <col min="2" max="2" width="5.00390625" style="18" customWidth="1"/>
    <col min="3" max="3" width="42.7109375" style="18" customWidth="1"/>
    <col min="4" max="4" width="13.421875" style="18" bestFit="1" customWidth="1"/>
    <col min="5" max="5" width="13.8515625" style="18" bestFit="1" customWidth="1"/>
    <col min="6" max="6" width="13.00390625" style="18" customWidth="1"/>
    <col min="7" max="7" width="20.28125" style="18" customWidth="1"/>
    <col min="8" max="8" width="9.00390625" style="18" customWidth="1"/>
    <col min="9" max="16384" width="9.140625" style="18" hidden="1" customWidth="1"/>
  </cols>
  <sheetData>
    <row r="1" ht="12"/>
    <row r="2" ht="12"/>
    <row r="3" spans="3:6" ht="18" customHeight="1">
      <c r="C3" s="1"/>
      <c r="E3" s="1"/>
      <c r="F3" s="1"/>
    </row>
    <row r="4" spans="2:7" ht="18" customHeight="1">
      <c r="B4" s="440" t="s">
        <v>363</v>
      </c>
      <c r="C4" s="441"/>
      <c r="D4" s="441"/>
      <c r="E4" s="441"/>
      <c r="F4" s="441"/>
      <c r="G4" s="442"/>
    </row>
    <row r="5" spans="2:7" ht="14.25">
      <c r="B5" s="137" t="s">
        <v>276</v>
      </c>
      <c r="C5" s="147"/>
      <c r="D5" s="138"/>
      <c r="E5" s="134"/>
      <c r="F5" s="147"/>
      <c r="G5" s="179"/>
    </row>
    <row r="6" spans="2:7" ht="14.25">
      <c r="B6" s="147"/>
      <c r="C6" s="135" t="s">
        <v>364</v>
      </c>
      <c r="D6" s="147"/>
      <c r="E6" s="134"/>
      <c r="F6" s="147"/>
      <c r="G6" s="179"/>
    </row>
    <row r="7" spans="2:7" ht="14.25">
      <c r="B7" s="147"/>
      <c r="C7" s="135" t="s">
        <v>365</v>
      </c>
      <c r="D7" s="147"/>
      <c r="E7" s="134"/>
      <c r="F7" s="147"/>
      <c r="G7" s="179"/>
    </row>
    <row r="8" spans="2:7" ht="12">
      <c r="B8" s="147"/>
      <c r="C8" s="147"/>
      <c r="D8" s="147"/>
      <c r="E8" s="147"/>
      <c r="F8" s="147"/>
      <c r="G8" s="179"/>
    </row>
    <row r="9" spans="2:7" ht="14.25">
      <c r="B9" s="140" t="s">
        <v>317</v>
      </c>
      <c r="C9" s="147"/>
      <c r="D9" s="136"/>
      <c r="E9" s="134"/>
      <c r="F9" s="147"/>
      <c r="G9" s="179"/>
    </row>
    <row r="10" spans="2:7" ht="14.25">
      <c r="B10" s="140"/>
      <c r="C10" s="135" t="s">
        <v>369</v>
      </c>
      <c r="D10" s="136"/>
      <c r="E10" s="134"/>
      <c r="F10" s="147"/>
      <c r="G10" s="179"/>
    </row>
    <row r="11" spans="2:7" ht="14.25">
      <c r="B11" s="140"/>
      <c r="C11" s="135" t="s">
        <v>370</v>
      </c>
      <c r="D11" s="136"/>
      <c r="E11" s="134"/>
      <c r="F11" s="147"/>
      <c r="G11" s="179"/>
    </row>
    <row r="12" spans="2:7" ht="14.25">
      <c r="B12" s="140"/>
      <c r="C12" s="135" t="s">
        <v>371</v>
      </c>
      <c r="D12" s="136"/>
      <c r="E12" s="134"/>
      <c r="F12" s="147"/>
      <c r="G12" s="179"/>
    </row>
    <row r="13" spans="2:7" ht="14.25">
      <c r="B13" s="147"/>
      <c r="C13" s="147"/>
      <c r="D13" s="147"/>
      <c r="E13" s="134"/>
      <c r="F13" s="147"/>
      <c r="G13" s="179"/>
    </row>
    <row r="14" spans="2:7" ht="14.25">
      <c r="B14" s="140" t="s">
        <v>321</v>
      </c>
      <c r="C14" s="147"/>
      <c r="D14" s="147"/>
      <c r="E14" s="134"/>
      <c r="F14" s="147"/>
      <c r="G14" s="179"/>
    </row>
    <row r="15" spans="2:7" ht="14.25">
      <c r="B15" s="147"/>
      <c r="C15" s="135" t="s">
        <v>375</v>
      </c>
      <c r="D15" s="147"/>
      <c r="E15" s="134"/>
      <c r="F15" s="147"/>
      <c r="G15" s="179"/>
    </row>
    <row r="16" spans="2:7" ht="14.25">
      <c r="B16" s="147"/>
      <c r="C16" s="135" t="s">
        <v>372</v>
      </c>
      <c r="D16" s="147"/>
      <c r="E16" s="134"/>
      <c r="F16" s="147"/>
      <c r="G16" s="179"/>
    </row>
    <row r="17" spans="2:7" ht="14.25">
      <c r="B17" s="147"/>
      <c r="C17" s="135" t="s">
        <v>373</v>
      </c>
      <c r="D17" s="147"/>
      <c r="E17" s="134"/>
      <c r="F17" s="147"/>
      <c r="G17" s="179"/>
    </row>
    <row r="18" spans="2:7" ht="14.25">
      <c r="B18" s="147"/>
      <c r="C18" s="135" t="s">
        <v>374</v>
      </c>
      <c r="D18" s="147"/>
      <c r="E18" s="134"/>
      <c r="F18" s="147"/>
      <c r="G18" s="179"/>
    </row>
    <row r="19" spans="2:7" ht="12.75" customHeight="1">
      <c r="B19" s="443" t="s">
        <v>325</v>
      </c>
      <c r="C19" s="444"/>
      <c r="D19" s="444"/>
      <c r="E19" s="444"/>
      <c r="F19" s="444"/>
      <c r="G19" s="445"/>
    </row>
    <row r="20" spans="2:6" ht="12">
      <c r="B20" s="1"/>
      <c r="C20" s="1"/>
      <c r="D20" s="1"/>
      <c r="E20" s="1"/>
      <c r="F20" s="1"/>
    </row>
    <row r="21" spans="1:8" ht="16.5">
      <c r="A21" s="155"/>
      <c r="B21" s="155"/>
      <c r="C21" s="128"/>
      <c r="D21" s="128"/>
      <c r="E21" s="128"/>
      <c r="F21" s="128"/>
      <c r="G21" s="128"/>
      <c r="H21" s="11"/>
    </row>
    <row r="22" spans="1:8" ht="16.5">
      <c r="A22" s="155"/>
      <c r="B22" s="155"/>
      <c r="C22" s="186" t="s">
        <v>366</v>
      </c>
      <c r="D22" s="180" t="s">
        <v>367</v>
      </c>
      <c r="E22" s="180" t="s">
        <v>368</v>
      </c>
      <c r="F22" s="180" t="s">
        <v>86</v>
      </c>
      <c r="G22" s="180" t="s">
        <v>71</v>
      </c>
      <c r="H22" s="13"/>
    </row>
    <row r="23" spans="1:8" ht="16.5">
      <c r="A23" s="155"/>
      <c r="B23" s="155"/>
      <c r="C23" s="317"/>
      <c r="D23" s="376"/>
      <c r="E23" s="318"/>
      <c r="F23" s="182">
        <f>IF('Preenchimento Preliminar'!$C$11=1,E23*0.3754*D23,(E23*0.754*D23))</f>
        <v>0</v>
      </c>
      <c r="G23" s="182">
        <f>((E23*D23)+F23)</f>
        <v>0</v>
      </c>
      <c r="H23" s="13"/>
    </row>
    <row r="24" spans="1:8" ht="16.5">
      <c r="A24" s="155"/>
      <c r="B24" s="155"/>
      <c r="C24" s="317"/>
      <c r="D24" s="376"/>
      <c r="E24" s="318"/>
      <c r="F24" s="182">
        <f>IF('Preenchimento Preliminar'!$C$11=1,E24*0.3754*D24,(E24*0.754*D24))</f>
        <v>0</v>
      </c>
      <c r="G24" s="182">
        <f aca="true" t="shared" si="0" ref="G24:G33">((E24*D24)+F24)</f>
        <v>0</v>
      </c>
      <c r="H24" s="13"/>
    </row>
    <row r="25" spans="1:8" ht="16.5">
      <c r="A25" s="155"/>
      <c r="B25" s="155"/>
      <c r="C25" s="317"/>
      <c r="D25" s="376"/>
      <c r="E25" s="318"/>
      <c r="F25" s="182">
        <f>IF('Preenchimento Preliminar'!$C$11=1,E25*0.3754*D25,(E25*0.754*D25))</f>
        <v>0</v>
      </c>
      <c r="G25" s="182">
        <f t="shared" si="0"/>
        <v>0</v>
      </c>
      <c r="H25" s="13"/>
    </row>
    <row r="26" spans="1:8" ht="16.5">
      <c r="A26" s="155"/>
      <c r="B26" s="155"/>
      <c r="C26" s="317"/>
      <c r="D26" s="376"/>
      <c r="E26" s="318"/>
      <c r="F26" s="182">
        <f>IF('Preenchimento Preliminar'!$C$11=1,E26*0.3754*D26,(E26*0.754*D26))</f>
        <v>0</v>
      </c>
      <c r="G26" s="182">
        <f t="shared" si="0"/>
        <v>0</v>
      </c>
      <c r="H26" s="13"/>
    </row>
    <row r="27" spans="1:8" ht="16.5">
      <c r="A27" s="155"/>
      <c r="B27" s="155"/>
      <c r="C27" s="317"/>
      <c r="D27" s="376"/>
      <c r="E27" s="318"/>
      <c r="F27" s="182">
        <f>IF('Preenchimento Preliminar'!$C$11=1,E27*0.3754*D27,(E27*0.754*D27))</f>
        <v>0</v>
      </c>
      <c r="G27" s="182">
        <f t="shared" si="0"/>
        <v>0</v>
      </c>
      <c r="H27" s="13"/>
    </row>
    <row r="28" spans="1:8" ht="16.5">
      <c r="A28" s="155"/>
      <c r="B28" s="155"/>
      <c r="C28" s="317"/>
      <c r="D28" s="376"/>
      <c r="E28" s="318"/>
      <c r="F28" s="182">
        <f>IF('Preenchimento Preliminar'!$C$11=1,E28*0.3754*D28,(E28*0.754*D28))</f>
        <v>0</v>
      </c>
      <c r="G28" s="182">
        <f t="shared" si="0"/>
        <v>0</v>
      </c>
      <c r="H28" s="13"/>
    </row>
    <row r="29" spans="1:8" ht="16.5">
      <c r="A29" s="155"/>
      <c r="B29" s="155"/>
      <c r="C29" s="317"/>
      <c r="D29" s="376"/>
      <c r="E29" s="318"/>
      <c r="F29" s="182">
        <f>IF('Preenchimento Preliminar'!$C$11=1,E29*0.3754*D29,(E29*0.754*D29))</f>
        <v>0</v>
      </c>
      <c r="G29" s="182">
        <f t="shared" si="0"/>
        <v>0</v>
      </c>
      <c r="H29" s="13"/>
    </row>
    <row r="30" spans="1:8" ht="16.5">
      <c r="A30" s="155"/>
      <c r="B30" s="155"/>
      <c r="C30" s="317"/>
      <c r="D30" s="376"/>
      <c r="E30" s="318"/>
      <c r="F30" s="182">
        <f>IF('Preenchimento Preliminar'!$C$11=1,E30*0.3754*D30,(E30*0.754*D30))</f>
        <v>0</v>
      </c>
      <c r="G30" s="182">
        <f t="shared" si="0"/>
        <v>0</v>
      </c>
      <c r="H30" s="13"/>
    </row>
    <row r="31" spans="1:8" ht="16.5">
      <c r="A31" s="155"/>
      <c r="B31" s="155"/>
      <c r="C31" s="317"/>
      <c r="D31" s="376"/>
      <c r="E31" s="318"/>
      <c r="F31" s="182">
        <f>IF('Preenchimento Preliminar'!$C$11=1,E31*0.3754*D31,(E31*0.754*D31))</f>
        <v>0</v>
      </c>
      <c r="G31" s="182">
        <f t="shared" si="0"/>
        <v>0</v>
      </c>
      <c r="H31" s="13"/>
    </row>
    <row r="32" spans="1:8" ht="16.5">
      <c r="A32" s="155"/>
      <c r="B32" s="155"/>
      <c r="C32" s="317"/>
      <c r="D32" s="376"/>
      <c r="E32" s="318"/>
      <c r="F32" s="182">
        <f>IF('Preenchimento Preliminar'!$C$11=1,E32*0.3754*D32,(E32*0.754*D32))</f>
        <v>0</v>
      </c>
      <c r="G32" s="182">
        <f t="shared" si="0"/>
        <v>0</v>
      </c>
      <c r="H32" s="13"/>
    </row>
    <row r="33" spans="1:8" ht="16.5">
      <c r="A33" s="155"/>
      <c r="B33" s="155"/>
      <c r="C33" s="317"/>
      <c r="D33" s="376"/>
      <c r="E33" s="377"/>
      <c r="F33" s="182">
        <f>IF('Preenchimento Preliminar'!$C$11=1,E33*0.3754*D33,(E33*0.754*D33))</f>
        <v>0</v>
      </c>
      <c r="G33" s="182">
        <f t="shared" si="0"/>
        <v>0</v>
      </c>
      <c r="H33" s="13"/>
    </row>
    <row r="34" spans="1:8" ht="16.5">
      <c r="A34" s="155"/>
      <c r="B34" s="155"/>
      <c r="C34" s="180" t="s">
        <v>81</v>
      </c>
      <c r="D34" s="183">
        <f>SUM(D23:D33)</f>
        <v>0</v>
      </c>
      <c r="E34" s="184"/>
      <c r="F34" s="185"/>
      <c r="G34" s="185">
        <f>SUM(G23:G33)</f>
        <v>0</v>
      </c>
      <c r="H34" s="13"/>
    </row>
    <row r="35" spans="1:8" ht="16.5">
      <c r="A35" s="155"/>
      <c r="B35" s="155"/>
      <c r="C35" s="168"/>
      <c r="D35" s="168"/>
      <c r="E35" s="168"/>
      <c r="F35" s="168"/>
      <c r="G35" s="168"/>
      <c r="H35" s="11"/>
    </row>
    <row r="36" spans="1:8" ht="16.5">
      <c r="A36" s="155"/>
      <c r="B36" s="155"/>
      <c r="C36" s="170" t="s">
        <v>87</v>
      </c>
      <c r="D36" s="128"/>
      <c r="E36" s="128"/>
      <c r="F36" s="128"/>
      <c r="G36" s="128"/>
      <c r="H36" s="11"/>
    </row>
    <row r="37" spans="1:8" ht="16.5">
      <c r="A37" s="155"/>
      <c r="B37" s="155"/>
      <c r="C37" s="170" t="s">
        <v>88</v>
      </c>
      <c r="D37" s="128"/>
      <c r="E37" s="128"/>
      <c r="F37" s="128"/>
      <c r="G37" s="128"/>
      <c r="H37" s="11"/>
    </row>
    <row r="38" spans="1:8" ht="16.5">
      <c r="A38" s="155"/>
      <c r="B38" s="155"/>
      <c r="C38" s="170" t="s">
        <v>89</v>
      </c>
      <c r="D38" s="128"/>
      <c r="E38" s="128"/>
      <c r="F38" s="128"/>
      <c r="G38" s="433" t="s">
        <v>273</v>
      </c>
      <c r="H38" s="11"/>
    </row>
    <row r="39" spans="3:8" ht="16.5" hidden="1">
      <c r="C39" s="11"/>
      <c r="D39" s="11"/>
      <c r="E39" s="11"/>
      <c r="F39" s="11"/>
      <c r="G39" s="11"/>
      <c r="H39" s="11"/>
    </row>
    <row r="40" spans="3:8" ht="16.5" hidden="1">
      <c r="C40" s="11"/>
      <c r="D40" s="11"/>
      <c r="E40" s="11"/>
      <c r="F40" s="11"/>
      <c r="G40" s="11"/>
      <c r="H40" s="11"/>
    </row>
    <row r="41" ht="12" hidden="1"/>
    <row r="42" ht="12" hidden="1">
      <c r="C42" s="98"/>
    </row>
    <row r="43" ht="12" hidden="1">
      <c r="C43" s="99"/>
    </row>
    <row r="44" ht="12" hidden="1">
      <c r="C44" s="95"/>
    </row>
  </sheetData>
  <sheetProtection password="C02B" sheet="1" objects="1" scenarios="1"/>
  <mergeCells count="2">
    <mergeCell ref="B4:G4"/>
    <mergeCell ref="B19:G19"/>
  </mergeCells>
  <hyperlinks>
    <hyperlink ref="G38" location="Início!c11" display="Início!c11"/>
  </hyperlinks>
  <printOptions horizontalCentered="1" verticalCentered="1"/>
  <pageMargins left="0.7874015748031497" right="0.27" top="0.66" bottom="0.984251968503937" header="0.67" footer="0.5118110236220472"/>
  <pageSetup blackAndWhite="1" horizontalDpi="300" verticalDpi="300" orientation="portrait" scale="81" r:id="rId1"/>
  <headerFooter alignWithMargins="0">
    <oddFooter>&amp;L&amp;D &amp;T&amp;R&amp;F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3:H54"/>
  <sheetViews>
    <sheetView showGridLines="0" zoomScale="75" zoomScaleNormal="75" workbookViewId="0" topLeftCell="A46">
      <selection activeCell="H50" sqref="H50"/>
    </sheetView>
  </sheetViews>
  <sheetFormatPr defaultColWidth="9.140625" defaultRowHeight="12.75" zeroHeight="1"/>
  <cols>
    <col min="1" max="1" width="10.28125" style="63" customWidth="1"/>
    <col min="2" max="2" width="11.00390625" style="18" customWidth="1"/>
    <col min="3" max="3" width="4.421875" style="18" customWidth="1"/>
    <col min="4" max="4" width="19.00390625" style="18" customWidth="1"/>
    <col min="5" max="5" width="38.421875" style="18" customWidth="1"/>
    <col min="6" max="6" width="21.8515625" style="18" customWidth="1"/>
    <col min="7" max="9" width="9.140625" style="18" customWidth="1"/>
    <col min="10" max="10" width="10.421875" style="18" customWidth="1"/>
    <col min="11" max="11" width="9.140625" style="18" customWidth="1"/>
    <col min="12" max="16384" width="9.140625" style="18" hidden="1" customWidth="1"/>
  </cols>
  <sheetData>
    <row r="1" ht="12"/>
    <row r="2" ht="12"/>
    <row r="3" spans="4:7" ht="12">
      <c r="D3" s="1"/>
      <c r="F3" s="1"/>
      <c r="G3" s="1"/>
    </row>
    <row r="4" spans="3:8" ht="18" customHeight="1">
      <c r="C4" s="440" t="s">
        <v>376</v>
      </c>
      <c r="D4" s="441"/>
      <c r="E4" s="441"/>
      <c r="F4" s="441"/>
      <c r="G4" s="441"/>
      <c r="H4" s="442"/>
    </row>
    <row r="5" spans="3:8" ht="14.25">
      <c r="C5" s="137" t="s">
        <v>276</v>
      </c>
      <c r="D5" s="147"/>
      <c r="E5" s="138"/>
      <c r="F5" s="134"/>
      <c r="G5" s="147"/>
      <c r="H5" s="179"/>
    </row>
    <row r="6" spans="1:8" ht="14.25">
      <c r="A6" s="18"/>
      <c r="C6" s="147"/>
      <c r="D6" s="135" t="s">
        <v>377</v>
      </c>
      <c r="E6" s="147"/>
      <c r="F6" s="134"/>
      <c r="G6" s="147"/>
      <c r="H6" s="179"/>
    </row>
    <row r="7" spans="1:8" ht="14.25">
      <c r="A7" s="18"/>
      <c r="C7" s="147"/>
      <c r="D7" s="135"/>
      <c r="E7" s="147"/>
      <c r="F7" s="134"/>
      <c r="G7" s="147"/>
      <c r="H7" s="179"/>
    </row>
    <row r="8" spans="1:8" ht="14.25">
      <c r="A8" s="18"/>
      <c r="C8" s="140" t="s">
        <v>317</v>
      </c>
      <c r="D8" s="147"/>
      <c r="E8" s="136"/>
      <c r="F8" s="134"/>
      <c r="G8" s="147"/>
      <c r="H8" s="179"/>
    </row>
    <row r="9" spans="3:8" ht="14.25">
      <c r="C9" s="140"/>
      <c r="D9" s="135" t="s">
        <v>382</v>
      </c>
      <c r="E9" s="136"/>
      <c r="F9" s="134"/>
      <c r="G9" s="147"/>
      <c r="H9" s="179"/>
    </row>
    <row r="10" spans="3:8" ht="14.25">
      <c r="C10" s="140"/>
      <c r="D10" s="135" t="s">
        <v>378</v>
      </c>
      <c r="E10" s="136"/>
      <c r="F10" s="134"/>
      <c r="G10" s="147"/>
      <c r="H10" s="179"/>
    </row>
    <row r="11" spans="3:8" ht="14.25">
      <c r="C11" s="140"/>
      <c r="D11" s="135" t="s">
        <v>383</v>
      </c>
      <c r="E11" s="136"/>
      <c r="F11" s="134"/>
      <c r="G11" s="147"/>
      <c r="H11" s="179"/>
    </row>
    <row r="12" spans="3:8" ht="14.25">
      <c r="C12" s="140"/>
      <c r="D12" s="135" t="s">
        <v>384</v>
      </c>
      <c r="E12" s="136"/>
      <c r="F12" s="134"/>
      <c r="G12" s="147"/>
      <c r="H12" s="179"/>
    </row>
    <row r="13" spans="3:8" ht="14.25">
      <c r="C13" s="140"/>
      <c r="D13" s="135" t="s">
        <v>379</v>
      </c>
      <c r="E13" s="136"/>
      <c r="F13" s="134"/>
      <c r="G13" s="147"/>
      <c r="H13" s="179"/>
    </row>
    <row r="14" spans="3:8" ht="14.25">
      <c r="C14" s="140"/>
      <c r="D14" s="135" t="s">
        <v>380</v>
      </c>
      <c r="E14" s="136"/>
      <c r="F14" s="134"/>
      <c r="G14" s="147"/>
      <c r="H14" s="179"/>
    </row>
    <row r="15" spans="3:8" ht="14.25">
      <c r="C15" s="147"/>
      <c r="D15" s="147"/>
      <c r="E15" s="147"/>
      <c r="F15" s="134"/>
      <c r="G15" s="147"/>
      <c r="H15" s="179"/>
    </row>
    <row r="16" spans="3:8" ht="14.25">
      <c r="C16" s="140" t="s">
        <v>321</v>
      </c>
      <c r="D16" s="147"/>
      <c r="E16" s="147"/>
      <c r="F16" s="134"/>
      <c r="G16" s="147"/>
      <c r="H16" s="179"/>
    </row>
    <row r="17" spans="3:8" ht="14.25">
      <c r="C17" s="147"/>
      <c r="D17" s="135" t="s">
        <v>385</v>
      </c>
      <c r="E17" s="147"/>
      <c r="F17" s="134"/>
      <c r="G17" s="147"/>
      <c r="H17" s="179"/>
    </row>
    <row r="18" spans="3:8" ht="14.25">
      <c r="C18" s="147"/>
      <c r="D18" s="135" t="s">
        <v>381</v>
      </c>
      <c r="E18" s="147"/>
      <c r="F18" s="134"/>
      <c r="G18" s="147"/>
      <c r="H18" s="179"/>
    </row>
    <row r="19" spans="3:8" ht="14.25">
      <c r="C19" s="147"/>
      <c r="D19" s="135"/>
      <c r="E19" s="147"/>
      <c r="F19" s="134"/>
      <c r="G19" s="147"/>
      <c r="H19" s="179"/>
    </row>
    <row r="20" spans="3:8" ht="12.75" customHeight="1">
      <c r="C20" s="443" t="s">
        <v>325</v>
      </c>
      <c r="D20" s="444"/>
      <c r="E20" s="444"/>
      <c r="F20" s="444"/>
      <c r="G20" s="444"/>
      <c r="H20" s="445"/>
    </row>
    <row r="21" ht="12"/>
    <row r="22" ht="12">
      <c r="A22" s="18"/>
    </row>
    <row r="23" ht="12">
      <c r="A23" s="18"/>
    </row>
    <row r="24" ht="12">
      <c r="A24" s="18"/>
    </row>
    <row r="25" ht="26.25" customHeight="1">
      <c r="A25" s="18"/>
    </row>
    <row r="26" spans="1:7" s="95" customFormat="1" ht="25.5" customHeight="1">
      <c r="A26" s="13"/>
      <c r="D26" s="155"/>
      <c r="E26" s="180" t="s">
        <v>90</v>
      </c>
      <c r="F26" s="180" t="s">
        <v>54</v>
      </c>
      <c r="G26" s="155"/>
    </row>
    <row r="27" spans="1:7" ht="16.5">
      <c r="A27" s="13"/>
      <c r="D27" s="201"/>
      <c r="E27" s="239"/>
      <c r="F27" s="254"/>
      <c r="G27" s="155"/>
    </row>
    <row r="28" spans="1:7" ht="16.5">
      <c r="A28" s="13"/>
      <c r="D28" s="155"/>
      <c r="E28" s="239" t="s">
        <v>104</v>
      </c>
      <c r="F28" s="182">
        <f>('Mão-de-Obra'!G34)</f>
        <v>0</v>
      </c>
      <c r="G28" s="155"/>
    </row>
    <row r="29" spans="1:7" ht="16.5">
      <c r="A29" s="13"/>
      <c r="D29" s="155"/>
      <c r="E29" s="239" t="s">
        <v>107</v>
      </c>
      <c r="F29" s="181"/>
      <c r="G29" s="155"/>
    </row>
    <row r="30" spans="1:7" ht="16.5">
      <c r="A30" s="13"/>
      <c r="D30" s="155"/>
      <c r="E30" s="239" t="s">
        <v>105</v>
      </c>
      <c r="F30" s="181"/>
      <c r="G30" s="155"/>
    </row>
    <row r="31" spans="1:7" ht="16.5">
      <c r="A31" s="13"/>
      <c r="D31" s="155"/>
      <c r="E31" s="239" t="s">
        <v>106</v>
      </c>
      <c r="F31" s="181"/>
      <c r="G31" s="155"/>
    </row>
    <row r="32" spans="1:7" ht="17.25" customHeight="1">
      <c r="A32" s="13"/>
      <c r="D32" s="155"/>
      <c r="E32" s="239" t="s">
        <v>108</v>
      </c>
      <c r="F32" s="181"/>
      <c r="G32" s="155"/>
    </row>
    <row r="33" spans="1:7" ht="16.5">
      <c r="A33" s="13"/>
      <c r="D33" s="155"/>
      <c r="E33" s="255" t="s">
        <v>109</v>
      </c>
      <c r="F33" s="181"/>
      <c r="G33" s="155"/>
    </row>
    <row r="34" spans="1:7" ht="16.5">
      <c r="A34" s="13"/>
      <c r="D34" s="155"/>
      <c r="E34" s="239" t="s">
        <v>91</v>
      </c>
      <c r="F34" s="181"/>
      <c r="G34" s="155"/>
    </row>
    <row r="35" spans="1:7" ht="16.5">
      <c r="A35" s="13"/>
      <c r="D35" s="155"/>
      <c r="E35" s="239" t="s">
        <v>92</v>
      </c>
      <c r="F35" s="181"/>
      <c r="G35" s="155"/>
    </row>
    <row r="36" spans="1:7" ht="16.5">
      <c r="A36" s="13"/>
      <c r="D36" s="155"/>
      <c r="E36" s="239" t="s">
        <v>97</v>
      </c>
      <c r="F36" s="181"/>
      <c r="G36" s="155"/>
    </row>
    <row r="37" spans="1:7" ht="16.5">
      <c r="A37" s="13"/>
      <c r="D37" s="155"/>
      <c r="E37" s="239" t="s">
        <v>93</v>
      </c>
      <c r="F37" s="181"/>
      <c r="G37" s="155"/>
    </row>
    <row r="38" spans="1:7" ht="16.5">
      <c r="A38" s="13"/>
      <c r="D38" s="155"/>
      <c r="E38" s="239" t="s">
        <v>110</v>
      </c>
      <c r="F38" s="181"/>
      <c r="G38" s="155"/>
    </row>
    <row r="39" spans="1:7" ht="16.5">
      <c r="A39" s="13"/>
      <c r="D39" s="155"/>
      <c r="E39" s="239" t="s">
        <v>94</v>
      </c>
      <c r="F39" s="182">
        <f>((('Investimento Fixo'!D35*0.04)+(('Investimento Fixo'!D26+'Investimento Fixo'!D30)*0.1)+('Investimento Fixo'!D40*0.2))/12)</f>
        <v>0</v>
      </c>
      <c r="G39" s="155"/>
    </row>
    <row r="40" spans="1:7" ht="16.5">
      <c r="A40" s="13"/>
      <c r="D40" s="155"/>
      <c r="E40" s="239" t="s">
        <v>95</v>
      </c>
      <c r="F40" s="181"/>
      <c r="G40" s="155"/>
    </row>
    <row r="41" spans="1:7" ht="16.5">
      <c r="A41" s="13"/>
      <c r="D41" s="155"/>
      <c r="E41" s="239" t="s">
        <v>96</v>
      </c>
      <c r="F41" s="181"/>
      <c r="G41" s="155"/>
    </row>
    <row r="42" spans="1:7" ht="16.5">
      <c r="A42" s="13"/>
      <c r="D42" s="155"/>
      <c r="E42" s="239" t="s">
        <v>98</v>
      </c>
      <c r="F42" s="181"/>
      <c r="G42" s="155"/>
    </row>
    <row r="43" spans="1:7" ht="16.5">
      <c r="A43" s="13"/>
      <c r="D43" s="155"/>
      <c r="E43" s="239" t="s">
        <v>99</v>
      </c>
      <c r="F43" s="181"/>
      <c r="G43" s="155"/>
    </row>
    <row r="44" spans="1:7" ht="16.5">
      <c r="A44" s="13"/>
      <c r="D44" s="155"/>
      <c r="E44" s="239" t="s">
        <v>100</v>
      </c>
      <c r="F44" s="181"/>
      <c r="G44" s="155"/>
    </row>
    <row r="45" spans="1:7" ht="16.5">
      <c r="A45" s="13"/>
      <c r="D45" s="155"/>
      <c r="E45" s="187" t="s">
        <v>80</v>
      </c>
      <c r="F45" s="188">
        <f>SUM(F46:F49)</f>
        <v>0</v>
      </c>
      <c r="G45" s="155"/>
    </row>
    <row r="46" spans="1:7" ht="16.5">
      <c r="A46" s="13"/>
      <c r="D46" s="155"/>
      <c r="E46" s="317"/>
      <c r="F46" s="181"/>
      <c r="G46" s="155"/>
    </row>
    <row r="47" spans="1:7" ht="16.5">
      <c r="A47" s="13"/>
      <c r="D47" s="155"/>
      <c r="E47" s="317"/>
      <c r="F47" s="181"/>
      <c r="G47" s="155"/>
    </row>
    <row r="48" spans="1:7" ht="16.5">
      <c r="A48" s="13"/>
      <c r="D48" s="155"/>
      <c r="E48" s="317"/>
      <c r="F48" s="181"/>
      <c r="G48" s="155"/>
    </row>
    <row r="49" spans="1:7" ht="16.5">
      <c r="A49" s="13"/>
      <c r="D49" s="155"/>
      <c r="E49" s="317"/>
      <c r="F49" s="181"/>
      <c r="G49" s="155"/>
    </row>
    <row r="50" spans="1:8" ht="16.5">
      <c r="A50" s="13"/>
      <c r="D50" s="155"/>
      <c r="E50" s="186" t="s">
        <v>81</v>
      </c>
      <c r="F50" s="188">
        <f>SUM(F28:F45)</f>
        <v>0</v>
      </c>
      <c r="G50" s="155"/>
      <c r="H50" s="127" t="s">
        <v>273</v>
      </c>
    </row>
    <row r="51" spans="1:7" ht="16.5">
      <c r="A51" s="13"/>
      <c r="D51" s="155"/>
      <c r="E51" s="168"/>
      <c r="F51" s="168"/>
      <c r="G51" s="155"/>
    </row>
    <row r="52" spans="1:7" ht="16.5">
      <c r="A52" s="13"/>
      <c r="D52" s="155"/>
      <c r="E52" s="170" t="s">
        <v>101</v>
      </c>
      <c r="F52" s="128"/>
      <c r="G52" s="155"/>
    </row>
    <row r="53" spans="1:7" ht="16.5">
      <c r="A53" s="13"/>
      <c r="D53" s="155"/>
      <c r="E53" s="170" t="s">
        <v>102</v>
      </c>
      <c r="F53" s="128"/>
      <c r="G53" s="155"/>
    </row>
    <row r="54" spans="4:7" ht="14.25">
      <c r="D54" s="155"/>
      <c r="E54" s="170" t="s">
        <v>103</v>
      </c>
      <c r="F54" s="128"/>
      <c r="G54" s="155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.75" customHeight="1"/>
    <row r="77" ht="12"/>
    <row r="78" ht="12" hidden="1"/>
  </sheetData>
  <sheetProtection password="C02B" sheet="1" objects="1" scenarios="1"/>
  <mergeCells count="2">
    <mergeCell ref="C4:H4"/>
    <mergeCell ref="C20:H20"/>
  </mergeCells>
  <hyperlinks>
    <hyperlink ref="H50" location="Início!c12" display="Início!c12"/>
  </hyperlinks>
  <printOptions horizontalCentered="1" verticalCentered="1"/>
  <pageMargins left="0.13" right="0.13" top="0.19" bottom="0.984251968503937" header="0.15748031496062992" footer="0.5118110236220472"/>
  <pageSetup blackAndWhite="1" fitToHeight="1" fitToWidth="1" horizontalDpi="300" verticalDpi="300" orientation="portrait" paperSize="9" scale="68" r:id="rId2"/>
  <headerFooter alignWithMargins="0">
    <oddFooter>&amp;L&amp;D &amp;T&amp;R&amp;F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9"/>
  <dimension ref="B3:H68"/>
  <sheetViews>
    <sheetView showGridLines="0" zoomScale="75" zoomScaleNormal="75" workbookViewId="0" topLeftCell="A35">
      <selection activeCell="G68" sqref="G68"/>
    </sheetView>
  </sheetViews>
  <sheetFormatPr defaultColWidth="9.140625" defaultRowHeight="12.75" zeroHeight="1"/>
  <cols>
    <col min="1" max="1" width="2.8515625" style="18" customWidth="1"/>
    <col min="2" max="2" width="5.7109375" style="18" customWidth="1"/>
    <col min="3" max="3" width="34.00390625" style="18" customWidth="1"/>
    <col min="4" max="4" width="9.7109375" style="18" customWidth="1"/>
    <col min="5" max="5" width="19.57421875" style="18" customWidth="1"/>
    <col min="6" max="6" width="13.140625" style="18" customWidth="1"/>
    <col min="7" max="7" width="21.28125" style="18" customWidth="1"/>
    <col min="8" max="8" width="10.28125" style="18" customWidth="1"/>
    <col min="9" max="9" width="9.00390625" style="18" customWidth="1"/>
    <col min="10" max="10" width="9.140625" style="18" customWidth="1"/>
    <col min="11" max="255" width="0" style="18" hidden="1" customWidth="1"/>
    <col min="256" max="16384" width="9.140625" style="18" customWidth="1"/>
  </cols>
  <sheetData>
    <row r="1" ht="7.5" customHeight="1" hidden="1"/>
    <row r="2" ht="16.5" customHeight="1"/>
    <row r="3" spans="3:6" ht="18" customHeight="1">
      <c r="C3" s="1"/>
      <c r="E3" s="1"/>
      <c r="F3" s="1"/>
    </row>
    <row r="4" spans="2:7" ht="18">
      <c r="B4" s="440" t="s">
        <v>386</v>
      </c>
      <c r="C4" s="441"/>
      <c r="D4" s="441"/>
      <c r="E4" s="441"/>
      <c r="F4" s="441"/>
      <c r="G4" s="442"/>
    </row>
    <row r="5" spans="2:7" ht="14.25">
      <c r="B5" s="137" t="s">
        <v>276</v>
      </c>
      <c r="C5" s="147"/>
      <c r="D5" s="138"/>
      <c r="E5" s="134"/>
      <c r="F5" s="147"/>
      <c r="G5" s="179"/>
    </row>
    <row r="6" spans="2:7" ht="14.25">
      <c r="B6" s="147"/>
      <c r="C6" s="248" t="s">
        <v>387</v>
      </c>
      <c r="D6" s="251"/>
      <c r="E6" s="250"/>
      <c r="F6" s="251"/>
      <c r="G6" s="252"/>
    </row>
    <row r="7" spans="2:7" ht="14.25">
      <c r="B7" s="147"/>
      <c r="C7" s="248" t="s">
        <v>388</v>
      </c>
      <c r="D7" s="251"/>
      <c r="E7" s="250"/>
      <c r="F7" s="251"/>
      <c r="G7" s="252"/>
    </row>
    <row r="8" spans="2:7" ht="14.25">
      <c r="B8" s="140" t="s">
        <v>317</v>
      </c>
      <c r="C8" s="147"/>
      <c r="D8" s="136"/>
      <c r="E8" s="134"/>
      <c r="F8" s="147"/>
      <c r="G8" s="179"/>
    </row>
    <row r="9" spans="2:7" ht="14.25">
      <c r="B9" s="140"/>
      <c r="C9" s="248" t="s">
        <v>2</v>
      </c>
      <c r="D9" s="249"/>
      <c r="E9" s="250"/>
      <c r="F9" s="251"/>
      <c r="G9" s="252"/>
    </row>
    <row r="10" spans="2:7" ht="14.25" customHeight="1">
      <c r="B10" s="140"/>
      <c r="C10" s="248" t="s">
        <v>10</v>
      </c>
      <c r="D10" s="368" t="s">
        <v>399</v>
      </c>
      <c r="E10" s="253"/>
      <c r="F10" s="248"/>
      <c r="G10" s="252"/>
    </row>
    <row r="11" spans="2:7" ht="14.25">
      <c r="B11" s="140"/>
      <c r="C11" s="248"/>
      <c r="D11" s="249"/>
      <c r="E11" s="250"/>
      <c r="F11" s="251"/>
      <c r="G11" s="252"/>
    </row>
    <row r="12" spans="2:7" ht="14.25">
      <c r="B12" s="140"/>
      <c r="C12" s="135" t="s">
        <v>3</v>
      </c>
      <c r="D12" s="136"/>
      <c r="E12" s="134"/>
      <c r="F12" s="147"/>
      <c r="G12" s="179"/>
    </row>
    <row r="13" spans="2:7" ht="14.25">
      <c r="B13" s="140"/>
      <c r="C13" s="135" t="s">
        <v>389</v>
      </c>
      <c r="D13" s="136"/>
      <c r="E13" s="134"/>
      <c r="F13" s="147"/>
      <c r="G13" s="179"/>
    </row>
    <row r="14" spans="2:7" ht="14.25">
      <c r="B14" s="140"/>
      <c r="C14" s="135" t="s">
        <v>390</v>
      </c>
      <c r="D14" s="136"/>
      <c r="E14" s="134"/>
      <c r="F14" s="147"/>
      <c r="G14" s="179"/>
    </row>
    <row r="15" spans="2:7" ht="14.25">
      <c r="B15" s="147"/>
      <c r="C15" s="135" t="s">
        <v>391</v>
      </c>
      <c r="D15" s="147"/>
      <c r="E15" s="134"/>
      <c r="F15" s="147"/>
      <c r="G15" s="179"/>
    </row>
    <row r="16" spans="2:7" ht="14.25">
      <c r="B16" s="147"/>
      <c r="C16" s="135" t="s">
        <v>4</v>
      </c>
      <c r="D16" s="147"/>
      <c r="E16" s="134"/>
      <c r="F16" s="147"/>
      <c r="G16" s="179"/>
    </row>
    <row r="17" spans="2:7" ht="14.25">
      <c r="B17" s="147"/>
      <c r="C17" s="248" t="s">
        <v>5</v>
      </c>
      <c r="D17" s="251"/>
      <c r="E17" s="250"/>
      <c r="F17" s="251"/>
      <c r="G17" s="252"/>
    </row>
    <row r="18" spans="2:7" ht="14.25">
      <c r="B18" s="147"/>
      <c r="C18" s="248" t="s">
        <v>6</v>
      </c>
      <c r="D18" s="251"/>
      <c r="E18" s="250"/>
      <c r="F18" s="251"/>
      <c r="G18" s="252"/>
    </row>
    <row r="19" spans="2:7" ht="14.25">
      <c r="B19" s="147"/>
      <c r="C19" s="135" t="s">
        <v>7</v>
      </c>
      <c r="D19" s="147"/>
      <c r="E19" s="134"/>
      <c r="F19" s="147"/>
      <c r="G19" s="179"/>
    </row>
    <row r="20" spans="2:7" ht="14.25">
      <c r="B20" s="147"/>
      <c r="C20" s="135" t="s">
        <v>0</v>
      </c>
      <c r="D20" s="147"/>
      <c r="E20" s="134"/>
      <c r="F20" s="147"/>
      <c r="G20" s="179"/>
    </row>
    <row r="21" spans="2:7" ht="14.25">
      <c r="B21" s="147"/>
      <c r="C21" s="248" t="s">
        <v>8</v>
      </c>
      <c r="D21" s="251"/>
      <c r="E21" s="250"/>
      <c r="F21" s="251"/>
      <c r="G21" s="252"/>
    </row>
    <row r="22" spans="2:7" ht="14.25">
      <c r="B22" s="147"/>
      <c r="C22" s="248" t="s">
        <v>9</v>
      </c>
      <c r="D22" s="251"/>
      <c r="E22" s="250"/>
      <c r="F22" s="251"/>
      <c r="G22" s="252"/>
    </row>
    <row r="23" spans="2:7" ht="14.25">
      <c r="B23" s="147"/>
      <c r="C23" s="135"/>
      <c r="D23" s="147"/>
      <c r="E23" s="134"/>
      <c r="F23" s="147"/>
      <c r="G23" s="179"/>
    </row>
    <row r="24" spans="2:7" ht="14.25">
      <c r="B24" s="140" t="s">
        <v>321</v>
      </c>
      <c r="C24" s="147"/>
      <c r="D24" s="147"/>
      <c r="E24" s="134"/>
      <c r="F24" s="147"/>
      <c r="G24" s="179"/>
    </row>
    <row r="25" spans="2:7" ht="14.25">
      <c r="B25" s="147"/>
      <c r="C25" s="135" t="s">
        <v>402</v>
      </c>
      <c r="D25" s="147"/>
      <c r="E25" s="134"/>
      <c r="F25" s="413" t="s">
        <v>404</v>
      </c>
      <c r="G25" s="412" t="s">
        <v>403</v>
      </c>
    </row>
    <row r="26" spans="2:7" ht="14.25">
      <c r="B26" s="147"/>
      <c r="C26" s="135" t="s">
        <v>400</v>
      </c>
      <c r="D26" s="370" t="s">
        <v>1</v>
      </c>
      <c r="E26" s="134"/>
      <c r="F26" s="147"/>
      <c r="G26" s="179"/>
    </row>
    <row r="27" spans="2:7" ht="12.75" customHeight="1">
      <c r="B27" s="147"/>
      <c r="C27" s="135"/>
      <c r="D27" s="147"/>
      <c r="E27" s="134"/>
      <c r="F27" s="147"/>
      <c r="G27" s="179"/>
    </row>
    <row r="28" spans="2:7" ht="12.75">
      <c r="B28" s="443" t="s">
        <v>325</v>
      </c>
      <c r="C28" s="444"/>
      <c r="D28" s="444"/>
      <c r="E28" s="444"/>
      <c r="F28" s="444"/>
      <c r="G28" s="445"/>
    </row>
    <row r="29" ht="12.75"/>
    <row r="30" s="155" customFormat="1" ht="10.5" customHeight="1" thickBot="1"/>
    <row r="31" spans="3:7" s="155" customFormat="1" ht="15.75" thickBot="1">
      <c r="C31" s="190" t="s">
        <v>111</v>
      </c>
      <c r="D31" s="191"/>
      <c r="E31" s="192" t="s">
        <v>29</v>
      </c>
      <c r="F31" s="193"/>
      <c r="G31" s="194" t="s">
        <v>112</v>
      </c>
    </row>
    <row r="32" spans="3:7" s="155" customFormat="1" ht="14.25">
      <c r="C32" s="195" t="s">
        <v>113</v>
      </c>
      <c r="D32" s="196"/>
      <c r="E32" s="460"/>
      <c r="F32" s="461"/>
      <c r="G32" s="197">
        <f>IF('Preenchimento Preliminar'!C$11=2,('Receita Operacional Proj.'!$F$29)*(E32),0)</f>
        <v>0</v>
      </c>
    </row>
    <row r="33" spans="3:7" s="155" customFormat="1" ht="14.25">
      <c r="C33" s="198" t="s">
        <v>114</v>
      </c>
      <c r="D33" s="199"/>
      <c r="E33" s="456"/>
      <c r="F33" s="457"/>
      <c r="G33" s="200">
        <f>IF('Preenchimento Preliminar'!C$11=2,('Receita Operacional Proj.'!$F$29*(E33)),0)</f>
        <v>0</v>
      </c>
    </row>
    <row r="34" spans="3:8" s="155" customFormat="1" ht="15">
      <c r="C34" s="198" t="s">
        <v>115</v>
      </c>
      <c r="D34" s="199"/>
      <c r="E34" s="456"/>
      <c r="F34" s="457"/>
      <c r="G34" s="200">
        <f>IF('Preenchimento Preliminar'!C$11=2,('Receita Operacional Proj.'!$F$29)*(E34),0)</f>
        <v>0</v>
      </c>
      <c r="H34" s="201"/>
    </row>
    <row r="35" spans="3:7" s="155" customFormat="1" ht="14.25">
      <c r="C35" s="198" t="s">
        <v>116</v>
      </c>
      <c r="D35" s="199"/>
      <c r="E35" s="456"/>
      <c r="F35" s="457"/>
      <c r="G35" s="200">
        <f>('Receita Operacional Proj.'!$F$29)*(E35)</f>
        <v>0</v>
      </c>
    </row>
    <row r="36" spans="3:7" s="155" customFormat="1" ht="14.25">
      <c r="C36" s="198" t="s">
        <v>117</v>
      </c>
      <c r="D36" s="199"/>
      <c r="E36" s="456"/>
      <c r="F36" s="457"/>
      <c r="G36" s="200">
        <f>('Receita Operacional Proj.'!$F$29)*(E36)</f>
        <v>0</v>
      </c>
    </row>
    <row r="37" spans="3:7" s="155" customFormat="1" ht="14.25">
      <c r="C37" s="198" t="s">
        <v>118</v>
      </c>
      <c r="D37" s="199"/>
      <c r="E37" s="202"/>
      <c r="F37" s="203"/>
      <c r="G37" s="200">
        <f>('Receita Operacional Proj.'!$F$29)*(E37)</f>
        <v>0</v>
      </c>
    </row>
    <row r="38" spans="3:7" s="155" customFormat="1" ht="14.25">
      <c r="C38" s="198" t="s">
        <v>119</v>
      </c>
      <c r="D38" s="199"/>
      <c r="E38" s="416">
        <f>IF('Preenchimento Preliminar'!C11=2,0,IF('Preenchimento Preliminar'!B3=2,'Preenchimento Preliminar'!G11,IF('Preenchimento Preliminar'!B3=1,'Preenchimento Preliminar'!G11+0.5,IF('Preenchimento Preliminar'!B3=3,'Preenchimento Preliminar'!G11))))/100</f>
        <v>0.03</v>
      </c>
      <c r="F38" s="205"/>
      <c r="G38" s="200">
        <f>('Receita Operacional Proj.'!$F$29)*(E38)</f>
        <v>0</v>
      </c>
    </row>
    <row r="39" spans="3:8" s="155" customFormat="1" ht="14.25">
      <c r="C39" s="198" t="s">
        <v>252</v>
      </c>
      <c r="D39" s="199"/>
      <c r="E39" s="204">
        <f>IF('Preenchimento Preliminar'!H14='Preenchimento Preliminar'!A22,0,IF('Preenchimento Preliminar'!H14='Preenchimento Preliminar'!A23,'Preenchimento Preliminar'!F23,IF('Preenchimento Preliminar'!H14='Preenchimento Preliminar'!A24,'Preenchimento Preliminar'!F24,IF('Preenchimento Preliminar'!H14='Preenchimento Preliminar'!A25,'Preenchimento Preliminar'!F25,0))))</f>
        <v>0</v>
      </c>
      <c r="F39" s="206"/>
      <c r="G39" s="200">
        <f>E39*'Orçamento Receitas e Despesas'!C2-H39</f>
        <v>0</v>
      </c>
      <c r="H39" s="207" t="b">
        <f>IF(E39=2%,300,IF(E39=3%,700,IF(E39=4%,1700)))</f>
        <v>0</v>
      </c>
    </row>
    <row r="40" spans="3:7" s="155" customFormat="1" ht="15" thickBot="1">
      <c r="C40" s="208" t="s">
        <v>80</v>
      </c>
      <c r="D40" s="209"/>
      <c r="E40" s="458"/>
      <c r="F40" s="459"/>
      <c r="G40" s="210">
        <f>('Receita Operacional Proj.'!$F$29)*(E40)</f>
        <v>0</v>
      </c>
    </row>
    <row r="41" spans="3:7" s="155" customFormat="1" ht="15" thickBot="1">
      <c r="C41" s="132" t="s">
        <v>71</v>
      </c>
      <c r="D41" s="211"/>
      <c r="E41" s="212">
        <f>SUM(E32:E40)</f>
        <v>0.03</v>
      </c>
      <c r="F41" s="213"/>
      <c r="G41" s="214">
        <f>SUM(G32:G40)</f>
        <v>0</v>
      </c>
    </row>
    <row r="42" spans="3:7" s="155" customFormat="1" ht="14.25">
      <c r="C42" s="148" t="s">
        <v>121</v>
      </c>
      <c r="D42" s="168"/>
      <c r="E42" s="168"/>
      <c r="F42" s="168"/>
      <c r="G42" s="168"/>
    </row>
    <row r="43" spans="3:7" s="155" customFormat="1" ht="14.25">
      <c r="C43" s="131" t="s">
        <v>122</v>
      </c>
      <c r="D43" s="168"/>
      <c r="E43" s="168"/>
      <c r="F43" s="168"/>
      <c r="G43" s="168"/>
    </row>
    <row r="44" spans="3:7" s="155" customFormat="1" ht="15" thickBot="1">
      <c r="C44" s="128"/>
      <c r="D44" s="128"/>
      <c r="E44" s="128"/>
      <c r="F44" s="128"/>
      <c r="G44" s="128"/>
    </row>
    <row r="45" spans="3:7" s="155" customFormat="1" ht="18.75" thickBot="1">
      <c r="C45" s="215"/>
      <c r="D45" s="216" t="s">
        <v>40</v>
      </c>
      <c r="E45" s="217"/>
      <c r="F45" s="217"/>
      <c r="G45" s="218"/>
    </row>
    <row r="46" spans="3:7" s="155" customFormat="1" ht="14.25">
      <c r="C46" s="219" t="s">
        <v>123</v>
      </c>
      <c r="D46" s="220"/>
      <c r="E46" s="220"/>
      <c r="F46" s="220"/>
      <c r="G46" s="221"/>
    </row>
    <row r="47" spans="3:7" s="155" customFormat="1" ht="14.25">
      <c r="C47" s="222" t="s">
        <v>124</v>
      </c>
      <c r="D47" s="180" t="s">
        <v>29</v>
      </c>
      <c r="E47" s="180" t="s">
        <v>125</v>
      </c>
      <c r="F47" s="180" t="s">
        <v>26</v>
      </c>
      <c r="G47" s="223" t="s">
        <v>126</v>
      </c>
    </row>
    <row r="48" spans="3:7" s="155" customFormat="1" ht="14.25">
      <c r="C48" s="224" t="s">
        <v>127</v>
      </c>
      <c r="D48" s="181"/>
      <c r="E48" s="182">
        <f>(('Receita Operacional Proj.'!D29)*(D48/100))</f>
        <v>0</v>
      </c>
      <c r="F48" s="182">
        <v>18</v>
      </c>
      <c r="G48" s="225">
        <f>(E48)*(F48/100)</f>
        <v>0</v>
      </c>
    </row>
    <row r="49" spans="3:7" s="155" customFormat="1" ht="14.25">
      <c r="C49" s="224" t="s">
        <v>128</v>
      </c>
      <c r="D49" s="181"/>
      <c r="E49" s="182">
        <f>(('Receita Operacional Proj.'!D29)*(D49/100))</f>
        <v>0</v>
      </c>
      <c r="F49" s="182">
        <v>12</v>
      </c>
      <c r="G49" s="225">
        <f>(E49)*(F49/100)</f>
        <v>0</v>
      </c>
    </row>
    <row r="50" spans="3:7" s="155" customFormat="1" ht="14.25">
      <c r="C50" s="224" t="s">
        <v>129</v>
      </c>
      <c r="D50" s="181"/>
      <c r="E50" s="182">
        <f>(('Receita Operacional Proj.'!D29)*(D50/100))</f>
        <v>0</v>
      </c>
      <c r="F50" s="182">
        <v>7</v>
      </c>
      <c r="G50" s="225">
        <f>(E50)*(F50/100)</f>
        <v>0</v>
      </c>
    </row>
    <row r="51" spans="3:7" s="155" customFormat="1" ht="15" thickBot="1">
      <c r="C51" s="226" t="s">
        <v>81</v>
      </c>
      <c r="D51" s="227"/>
      <c r="E51" s="227"/>
      <c r="F51" s="227"/>
      <c r="G51" s="228">
        <f>SUM(G48:G50)</f>
        <v>0</v>
      </c>
    </row>
    <row r="52" spans="3:7" s="155" customFormat="1" ht="15" thickBot="1">
      <c r="C52" s="229"/>
      <c r="D52" s="230"/>
      <c r="E52" s="230"/>
      <c r="F52" s="230"/>
      <c r="G52" s="231"/>
    </row>
    <row r="53" spans="3:7" s="155" customFormat="1" ht="14.25">
      <c r="C53" s="232" t="s">
        <v>130</v>
      </c>
      <c r="D53" s="233"/>
      <c r="E53" s="233"/>
      <c r="F53" s="233"/>
      <c r="G53" s="234"/>
    </row>
    <row r="54" spans="3:7" s="155" customFormat="1" ht="14.25">
      <c r="C54" s="222" t="s">
        <v>131</v>
      </c>
      <c r="D54" s="180" t="s">
        <v>29</v>
      </c>
      <c r="E54" s="180" t="s">
        <v>132</v>
      </c>
      <c r="F54" s="180" t="s">
        <v>26</v>
      </c>
      <c r="G54" s="223" t="s">
        <v>133</v>
      </c>
    </row>
    <row r="55" spans="3:7" s="155" customFormat="1" ht="14.25">
      <c r="C55" s="224" t="s">
        <v>127</v>
      </c>
      <c r="D55" s="181"/>
      <c r="E55" s="182">
        <f>(('Custo Proj'!D26)*(D55/100))</f>
        <v>0</v>
      </c>
      <c r="F55" s="182">
        <v>18</v>
      </c>
      <c r="G55" s="225">
        <f>(E55)*(F55/100)</f>
        <v>0</v>
      </c>
    </row>
    <row r="56" spans="3:7" s="155" customFormat="1" ht="14.25">
      <c r="C56" s="224" t="s">
        <v>128</v>
      </c>
      <c r="D56" s="181"/>
      <c r="E56" s="182">
        <f>(('Custo Proj'!D26)*(D56/100))</f>
        <v>0</v>
      </c>
      <c r="F56" s="182">
        <v>12</v>
      </c>
      <c r="G56" s="225">
        <f>(E56)*(F56/100)</f>
        <v>0</v>
      </c>
    </row>
    <row r="57" spans="3:7" s="155" customFormat="1" ht="14.25">
      <c r="C57" s="224" t="s">
        <v>129</v>
      </c>
      <c r="D57" s="181"/>
      <c r="E57" s="182">
        <f>(('Custo Proj'!D26)*(D57/100))</f>
        <v>0</v>
      </c>
      <c r="F57" s="182">
        <v>7</v>
      </c>
      <c r="G57" s="225">
        <f>(E57)*(F57/100)</f>
        <v>0</v>
      </c>
    </row>
    <row r="58" spans="3:7" s="155" customFormat="1" ht="15" thickBot="1">
      <c r="C58" s="226" t="s">
        <v>81</v>
      </c>
      <c r="D58" s="227"/>
      <c r="E58" s="227"/>
      <c r="F58" s="227"/>
      <c r="G58" s="228">
        <f>SUM(G55:G57)</f>
        <v>0</v>
      </c>
    </row>
    <row r="59" spans="3:7" s="155" customFormat="1" ht="14.25">
      <c r="C59" s="148" t="s">
        <v>134</v>
      </c>
      <c r="D59" s="168"/>
      <c r="E59" s="168"/>
      <c r="F59" s="168"/>
      <c r="G59" s="168"/>
    </row>
    <row r="60" spans="3:7" s="155" customFormat="1" ht="14.25">
      <c r="C60" s="131" t="s">
        <v>135</v>
      </c>
      <c r="D60" s="168"/>
      <c r="E60" s="168"/>
      <c r="F60" s="168"/>
      <c r="G60" s="168"/>
    </row>
    <row r="61" spans="3:7" s="155" customFormat="1" ht="15" thickBot="1">
      <c r="C61" s="128"/>
      <c r="D61" s="128"/>
      <c r="E61" s="128"/>
      <c r="F61" s="128"/>
      <c r="G61" s="128"/>
    </row>
    <row r="62" spans="3:7" s="155" customFormat="1" ht="18">
      <c r="C62" s="235" t="s">
        <v>136</v>
      </c>
      <c r="D62" s="236"/>
      <c r="E62" s="237"/>
      <c r="F62" s="237"/>
      <c r="G62" s="238"/>
    </row>
    <row r="63" spans="3:7" s="155" customFormat="1" ht="14.25">
      <c r="C63" s="187" t="s">
        <v>137</v>
      </c>
      <c r="D63" s="187"/>
      <c r="E63" s="239"/>
      <c r="F63" s="239"/>
      <c r="G63" s="240"/>
    </row>
    <row r="64" spans="3:7" s="155" customFormat="1" ht="14.25">
      <c r="C64" s="239" t="s">
        <v>138</v>
      </c>
      <c r="D64" s="241"/>
      <c r="E64" s="242"/>
      <c r="F64" s="243" t="s">
        <v>26</v>
      </c>
      <c r="G64" s="244" t="s">
        <v>139</v>
      </c>
    </row>
    <row r="65" spans="3:7" s="155" customFormat="1" ht="14.25">
      <c r="C65" s="245" t="s">
        <v>140</v>
      </c>
      <c r="D65" s="242"/>
      <c r="E65" s="242"/>
      <c r="F65" s="246"/>
      <c r="G65" s="247">
        <f>((F65/100)*('Receita Operacional Proj.'!D29))</f>
        <v>0</v>
      </c>
    </row>
    <row r="66" spans="3:7" s="155" customFormat="1" ht="14.25">
      <c r="C66" s="245" t="s">
        <v>141</v>
      </c>
      <c r="D66" s="242"/>
      <c r="E66" s="242"/>
      <c r="F66" s="246"/>
      <c r="G66" s="247">
        <f>((F66/100)*('Receita Operacional Proj.'!F29))</f>
        <v>0</v>
      </c>
    </row>
    <row r="67" spans="3:7" s="155" customFormat="1" ht="14.25">
      <c r="C67" s="130" t="s">
        <v>142</v>
      </c>
      <c r="D67" s="168"/>
      <c r="E67" s="168"/>
      <c r="F67" s="168"/>
      <c r="G67" s="168"/>
    </row>
    <row r="68" spans="3:7" s="155" customFormat="1" ht="14.25">
      <c r="C68" s="189" t="s">
        <v>143</v>
      </c>
      <c r="D68" s="128"/>
      <c r="E68" s="128"/>
      <c r="F68" s="128"/>
      <c r="G68" s="256" t="s">
        <v>273</v>
      </c>
    </row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1.25" customHeight="1" hidden="1"/>
    <row r="245" ht="12" hidden="1"/>
    <row r="246" ht="12" hidden="1"/>
    <row r="247" ht="12" hidden="1"/>
    <row r="248" ht="12" hidden="1"/>
    <row r="249" ht="12"/>
    <row r="250" ht="12"/>
  </sheetData>
  <sheetProtection password="C02B" sheet="1" objects="1" scenarios="1"/>
  <mergeCells count="8">
    <mergeCell ref="B4:G4"/>
    <mergeCell ref="B28:G28"/>
    <mergeCell ref="E32:F32"/>
    <mergeCell ref="E33:F33"/>
    <mergeCell ref="E34:F34"/>
    <mergeCell ref="E35:F35"/>
    <mergeCell ref="E36:F36"/>
    <mergeCell ref="E40:F40"/>
  </mergeCells>
  <dataValidations count="3">
    <dataValidation type="custom" allowBlank="1" showInputMessage="1" showErrorMessage="1" prompt="Somente preencha se a empresa não se enquadrar no SIMPLES e for Indústria ou Comércio." error="A soma dos campos deve ser de 100%" sqref="D48 D55">
      <formula1>D48+D49+D50=100</formula1>
    </dataValidation>
    <dataValidation type="custom" allowBlank="1" showInputMessage="1" showErrorMessage="1" prompt="Somente preencha se a empresa não se enquadrar no SIMPLES e for Indústria ou Comércio." error="A soma dos campos deve ser de 100%" sqref="D49 D56">
      <formula1>D49+D48+D50=100</formula1>
    </dataValidation>
    <dataValidation type="custom" allowBlank="1" showInputMessage="1" showErrorMessage="1" prompt="Somente preencha se a empresa não se enquadrar no SIMPLES e for Indústria ou Comércio." error="A soma dos campos deve ser de 100%" sqref="D50 D57">
      <formula1>D50+D48+D49=100</formula1>
    </dataValidation>
  </dataValidations>
  <hyperlinks>
    <hyperlink ref="G68" location="Início!c13" display="Início!c13"/>
    <hyperlink ref="D26" r:id="rId1" display="Fale com o Consultor"/>
    <hyperlink ref="D10" r:id="rId2" display="www.sebraepr.com.br"/>
    <hyperlink ref="F25" r:id="rId3" display="http://www.sebraepr.com.br/"/>
  </hyperlinks>
  <printOptions horizontalCentered="1" verticalCentered="1"/>
  <pageMargins left="0.7874015748031497" right="0.7874015748031497" top="0.17" bottom="0.33" header="0.18" footer="0.18"/>
  <pageSetup blackAndWhite="1" horizontalDpi="300" verticalDpi="300" orientation="portrait" scale="80" r:id="rId6"/>
  <headerFooter alignWithMargins="0">
    <oddFooter>&amp;L&amp;D &amp;T&amp;R&amp;F</oddFooter>
  </headerFooter>
  <colBreaks count="1" manualBreakCount="1">
    <brk id="7" max="65535" man="1"/>
  </colBreaks>
  <legacyDrawing r:id="rId5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0"/>
  <dimension ref="A1:E47"/>
  <sheetViews>
    <sheetView showGridLines="0" zoomScale="75" zoomScaleNormal="75" workbookViewId="0" topLeftCell="A16">
      <selection activeCell="D46" sqref="D46"/>
    </sheetView>
  </sheetViews>
  <sheetFormatPr defaultColWidth="9.140625" defaultRowHeight="12.75" zeroHeight="1"/>
  <cols>
    <col min="1" max="1" width="10.28125" style="283" customWidth="1"/>
    <col min="2" max="2" width="48.28125" style="283" customWidth="1"/>
    <col min="3" max="3" width="33.8515625" style="283" customWidth="1"/>
    <col min="4" max="4" width="13.7109375" style="283" customWidth="1"/>
    <col min="5" max="5" width="1.57421875" style="283" customWidth="1"/>
    <col min="6" max="6" width="10.28125" style="283" hidden="1" customWidth="1"/>
    <col min="7" max="16384" width="0" style="283" hidden="1" customWidth="1"/>
  </cols>
  <sheetData>
    <row r="1" spans="1:5" ht="15" thickBot="1">
      <c r="A1" s="168"/>
      <c r="B1" s="129" t="s">
        <v>74</v>
      </c>
      <c r="C1" s="299" t="s">
        <v>75</v>
      </c>
      <c r="D1" s="300" t="s">
        <v>29</v>
      </c>
      <c r="E1" s="168"/>
    </row>
    <row r="2" spans="2:5" ht="15" thickBot="1">
      <c r="B2" s="132" t="s">
        <v>144</v>
      </c>
      <c r="C2" s="301">
        <f>('Receita Operacional Proj.'!F29)</f>
        <v>0</v>
      </c>
      <c r="D2" s="302">
        <v>100</v>
      </c>
      <c r="E2" s="168"/>
    </row>
    <row r="3" spans="1:5" ht="14.25">
      <c r="A3" s="168"/>
      <c r="B3" s="264" t="s">
        <v>60</v>
      </c>
      <c r="C3" s="176">
        <f>C2*D3/100</f>
        <v>0</v>
      </c>
      <c r="D3" s="267">
        <f>D2-D4</f>
        <v>100</v>
      </c>
      <c r="E3" s="168"/>
    </row>
    <row r="4" spans="1:5" ht="15" thickBot="1">
      <c r="A4" s="168"/>
      <c r="B4" s="264" t="s">
        <v>62</v>
      </c>
      <c r="C4" s="176">
        <f>C2*'Prazos Médios'!D31/100</f>
        <v>0</v>
      </c>
      <c r="D4" s="267">
        <f>IF(C4=0,0,(C4/$C$2)*100)</f>
        <v>0</v>
      </c>
      <c r="E4" s="168"/>
    </row>
    <row r="5" spans="1:5" ht="15" thickBot="1">
      <c r="A5" s="168"/>
      <c r="B5" s="132" t="s">
        <v>145</v>
      </c>
      <c r="C5" s="301">
        <f>SUM(C6:C17)</f>
        <v>0</v>
      </c>
      <c r="D5" s="302">
        <f>IF(C5=0,0,(C5/$C$2)*100)</f>
        <v>0</v>
      </c>
      <c r="E5" s="168"/>
    </row>
    <row r="6" spans="1:5" ht="14.25">
      <c r="A6" s="168"/>
      <c r="B6" s="264" t="s">
        <v>217</v>
      </c>
      <c r="C6" s="176">
        <f>'Custo Proj'!D26</f>
        <v>0</v>
      </c>
      <c r="D6" s="267">
        <f>IF(C6=0,0,(C6/$C$2)*100)</f>
        <v>0</v>
      </c>
      <c r="E6" s="168"/>
    </row>
    <row r="7" spans="1:5" ht="14.25">
      <c r="A7" s="168"/>
      <c r="B7" s="303" t="str">
        <f>'Custos Variáveis'!C38</f>
        <v>SIMPLES Federal</v>
      </c>
      <c r="C7" s="304">
        <f>'Custos Variáveis'!G38</f>
        <v>0</v>
      </c>
      <c r="D7" s="267">
        <f>IF(C7=0,0,(C7/$C$2)*100)</f>
        <v>0</v>
      </c>
      <c r="E7" s="168"/>
    </row>
    <row r="8" spans="1:5" ht="14.25">
      <c r="A8" s="168"/>
      <c r="B8" s="303" t="s">
        <v>120</v>
      </c>
      <c r="C8" s="304">
        <f>'Custos Variáveis'!G39</f>
        <v>0</v>
      </c>
      <c r="D8" s="267">
        <f aca="true" t="shared" si="0" ref="D8:D17">IF(C8=0,0,(C8/$C$2)*100)</f>
        <v>0</v>
      </c>
      <c r="E8" s="168"/>
    </row>
    <row r="9" spans="1:5" ht="14.25">
      <c r="A9" s="168"/>
      <c r="B9" s="303" t="s">
        <v>40</v>
      </c>
      <c r="C9" s="304">
        <f>IF('Preenchimento Preliminar'!C14=1,0,IF('Custos Variáveis'!G58&gt;'Custos Variáveis'!G51,0,('Custos Variáveis'!G51-'Custos Variáveis'!G58)))</f>
        <v>0</v>
      </c>
      <c r="D9" s="267">
        <f t="shared" si="0"/>
        <v>0</v>
      </c>
      <c r="E9" s="168"/>
    </row>
    <row r="10" spans="1:5" ht="14.25">
      <c r="A10" s="168"/>
      <c r="B10" s="264" t="s">
        <v>113</v>
      </c>
      <c r="C10" s="304">
        <f>('Custos Variáveis'!G32)</f>
        <v>0</v>
      </c>
      <c r="D10" s="267">
        <f t="shared" si="0"/>
        <v>0</v>
      </c>
      <c r="E10" s="168"/>
    </row>
    <row r="11" spans="1:5" ht="14.25">
      <c r="A11" s="168"/>
      <c r="B11" s="264" t="s">
        <v>114</v>
      </c>
      <c r="C11" s="304">
        <f>('Custos Variáveis'!G33)</f>
        <v>0</v>
      </c>
      <c r="D11" s="267">
        <f t="shared" si="0"/>
        <v>0</v>
      </c>
      <c r="E11" s="168"/>
    </row>
    <row r="12" spans="1:5" ht="14.25">
      <c r="A12" s="168"/>
      <c r="B12" s="264" t="s">
        <v>115</v>
      </c>
      <c r="C12" s="304">
        <f>IF('Custos Variáveis'!G63=1,0,'Custos Variáveis'!G34)</f>
        <v>0</v>
      </c>
      <c r="D12" s="267">
        <f t="shared" si="0"/>
        <v>0</v>
      </c>
      <c r="E12" s="168"/>
    </row>
    <row r="13" spans="1:5" ht="14.25">
      <c r="A13" s="168"/>
      <c r="B13" s="264" t="s">
        <v>116</v>
      </c>
      <c r="C13" s="176">
        <f>('Custos Variáveis'!G35)</f>
        <v>0</v>
      </c>
      <c r="D13" s="267">
        <f t="shared" si="0"/>
        <v>0</v>
      </c>
      <c r="E13" s="168"/>
    </row>
    <row r="14" spans="1:5" ht="14.25">
      <c r="A14" s="168"/>
      <c r="B14" s="264" t="s">
        <v>117</v>
      </c>
      <c r="C14" s="305">
        <f>'Custos Variáveis'!G36</f>
        <v>0</v>
      </c>
      <c r="D14" s="267">
        <f t="shared" si="0"/>
        <v>0</v>
      </c>
      <c r="E14" s="168"/>
    </row>
    <row r="15" spans="1:5" ht="14.25">
      <c r="A15" s="168"/>
      <c r="B15" s="264" t="s">
        <v>146</v>
      </c>
      <c r="C15" s="304">
        <f>IF('Preenchimento Preliminar'!C11=1,0,IF('Custos Variáveis'!G63=1,0,'Custos Variáveis'!G65+'Custos Variáveis'!G66))</f>
        <v>0</v>
      </c>
      <c r="D15" s="267">
        <f t="shared" si="0"/>
        <v>0</v>
      </c>
      <c r="E15" s="168"/>
    </row>
    <row r="16" spans="1:5" ht="14.25">
      <c r="A16" s="168"/>
      <c r="B16" s="264" t="s">
        <v>118</v>
      </c>
      <c r="C16" s="304">
        <f>IF('Preenchimento Preliminar'!C11=1,0,('Custos Variáveis'!G37))</f>
        <v>0</v>
      </c>
      <c r="D16" s="267">
        <f t="shared" si="0"/>
        <v>0</v>
      </c>
      <c r="E16" s="168"/>
    </row>
    <row r="17" spans="1:5" ht="15" thickBot="1">
      <c r="A17" s="168"/>
      <c r="B17" s="264" t="s">
        <v>80</v>
      </c>
      <c r="C17" s="176">
        <f>'Custos Variáveis'!G40</f>
        <v>0</v>
      </c>
      <c r="D17" s="267">
        <f t="shared" si="0"/>
        <v>0</v>
      </c>
      <c r="E17" s="168"/>
    </row>
    <row r="18" spans="1:5" ht="15" thickBot="1">
      <c r="A18" s="168"/>
      <c r="B18" s="132" t="s">
        <v>147</v>
      </c>
      <c r="C18" s="301">
        <f>(C2-C5)</f>
        <v>0</v>
      </c>
      <c r="D18" s="302">
        <f aca="true" t="shared" si="1" ref="D18:D23">IF(C18=0,0,(C18/$C$2)*100)</f>
        <v>0</v>
      </c>
      <c r="E18" s="168"/>
    </row>
    <row r="19" spans="1:5" ht="15" thickBot="1">
      <c r="A19" s="168"/>
      <c r="B19" s="132" t="s">
        <v>148</v>
      </c>
      <c r="C19" s="301">
        <f>SUM(C20:C37)</f>
        <v>0</v>
      </c>
      <c r="D19" s="302">
        <f t="shared" si="1"/>
        <v>0</v>
      </c>
      <c r="E19" s="168"/>
    </row>
    <row r="20" spans="1:5" ht="14.25">
      <c r="A20" s="168"/>
      <c r="B20" s="264" t="str">
        <f>'Custos Fixos Operacionais'!E28</f>
        <v>Mão-de-Obra+ Encargos</v>
      </c>
      <c r="C20" s="176">
        <f>('Custos Fixos Operacionais'!F28)</f>
        <v>0</v>
      </c>
      <c r="D20" s="267">
        <f t="shared" si="1"/>
        <v>0</v>
      </c>
      <c r="E20" s="168"/>
    </row>
    <row r="21" spans="1:5" ht="14.25">
      <c r="A21" s="168"/>
      <c r="B21" s="264" t="str">
        <f>'Custos Fixos Operacionais'!E29</f>
        <v>Retirada dos Sócios</v>
      </c>
      <c r="C21" s="176">
        <f>('Custos Fixos Operacionais'!F29)</f>
        <v>0</v>
      </c>
      <c r="D21" s="267">
        <f t="shared" si="1"/>
        <v>0</v>
      </c>
      <c r="E21" s="168"/>
    </row>
    <row r="22" spans="1:5" ht="14.25">
      <c r="A22" s="168"/>
      <c r="B22" s="264" t="str">
        <f>'Custos Fixos Operacionais'!E30</f>
        <v>Água</v>
      </c>
      <c r="C22" s="176">
        <f>('Custos Fixos Operacionais'!F30)</f>
        <v>0</v>
      </c>
      <c r="D22" s="267">
        <f t="shared" si="1"/>
        <v>0</v>
      </c>
      <c r="E22" s="168"/>
    </row>
    <row r="23" spans="1:5" ht="14.25">
      <c r="A23" s="168"/>
      <c r="B23" s="264" t="str">
        <f>'Custos Fixos Operacionais'!E31</f>
        <v>Luz</v>
      </c>
      <c r="C23" s="176">
        <f>('Custos Fixos Operacionais'!F31)</f>
        <v>0</v>
      </c>
      <c r="D23" s="267">
        <f t="shared" si="1"/>
        <v>0</v>
      </c>
      <c r="E23" s="168"/>
    </row>
    <row r="24" spans="1:5" ht="14.25">
      <c r="A24" s="168"/>
      <c r="B24" s="264" t="str">
        <f>'Custos Fixos Operacionais'!E32</f>
        <v>Telefone</v>
      </c>
      <c r="C24" s="176">
        <f>('Custos Fixos Operacionais'!F32)</f>
        <v>0</v>
      </c>
      <c r="D24" s="267">
        <f aca="true" t="shared" si="2" ref="D24:D36">IF(C24=0,0,(C24/$C$2)*100)</f>
        <v>0</v>
      </c>
      <c r="E24" s="168"/>
    </row>
    <row r="25" spans="1:5" ht="14.25">
      <c r="A25" s="168"/>
      <c r="B25" s="264" t="str">
        <f>'Custos Fixos Operacionais'!E33</f>
        <v>Contador</v>
      </c>
      <c r="C25" s="176">
        <f>('Custos Fixos Operacionais'!F33)</f>
        <v>0</v>
      </c>
      <c r="D25" s="267">
        <f t="shared" si="2"/>
        <v>0</v>
      </c>
      <c r="E25" s="168"/>
    </row>
    <row r="26" spans="1:5" ht="14.25">
      <c r="A26" s="168"/>
      <c r="B26" s="264" t="str">
        <f>'Custos Fixos Operacionais'!E34</f>
        <v>Despesas com Veículos</v>
      </c>
      <c r="C26" s="176">
        <f>('Custos Fixos Operacionais'!F34)</f>
        <v>0</v>
      </c>
      <c r="D26" s="267">
        <f t="shared" si="2"/>
        <v>0</v>
      </c>
      <c r="E26" s="168"/>
    </row>
    <row r="27" spans="1:5" ht="14.25">
      <c r="A27" s="168"/>
      <c r="B27" s="264" t="str">
        <f>'Custos Fixos Operacionais'!E35</f>
        <v>Material de Expediente e Consumo</v>
      </c>
      <c r="C27" s="176">
        <f>('Custos Fixos Operacionais'!F35)</f>
        <v>0</v>
      </c>
      <c r="D27" s="267">
        <f t="shared" si="2"/>
        <v>0</v>
      </c>
      <c r="E27" s="168"/>
    </row>
    <row r="28" spans="1:5" ht="14.25">
      <c r="A28" s="168"/>
      <c r="B28" s="264" t="str">
        <f>'Custos Fixos Operacionais'!E36</f>
        <v>Aluguel</v>
      </c>
      <c r="C28" s="176">
        <f>('Custos Fixos Operacionais'!F36)</f>
        <v>0</v>
      </c>
      <c r="D28" s="267">
        <f t="shared" si="2"/>
        <v>0</v>
      </c>
      <c r="E28" s="168"/>
    </row>
    <row r="29" spans="1:5" ht="14.25">
      <c r="A29" s="168"/>
      <c r="B29" s="264" t="str">
        <f>'Custos Fixos Operacionais'!E37</f>
        <v>Seguros</v>
      </c>
      <c r="C29" s="176">
        <f>('Custos Fixos Operacionais'!F37)</f>
        <v>0</v>
      </c>
      <c r="D29" s="267">
        <f t="shared" si="2"/>
        <v>0</v>
      </c>
      <c r="E29" s="168"/>
    </row>
    <row r="30" spans="1:5" ht="14.25">
      <c r="A30" s="168"/>
      <c r="B30" s="264" t="str">
        <f>'Custos Fixos Operacionais'!E38</f>
        <v>Propaganda e Publicidade</v>
      </c>
      <c r="C30" s="176">
        <f>('Custos Fixos Operacionais'!F38)</f>
        <v>0</v>
      </c>
      <c r="D30" s="267">
        <f t="shared" si="2"/>
        <v>0</v>
      </c>
      <c r="E30" s="168"/>
    </row>
    <row r="31" spans="1:5" ht="14.25">
      <c r="A31" s="168"/>
      <c r="B31" s="264" t="str">
        <f>'Custos Fixos Operacionais'!E39</f>
        <v>Depreciação</v>
      </c>
      <c r="C31" s="176">
        <f>('Custos Fixos Operacionais'!F39)</f>
        <v>0</v>
      </c>
      <c r="D31" s="267">
        <f t="shared" si="2"/>
        <v>0</v>
      </c>
      <c r="E31" s="168"/>
    </row>
    <row r="32" spans="1:5" ht="14.25">
      <c r="A32" s="168"/>
      <c r="B32" s="264" t="str">
        <f>'Custos Fixos Operacionais'!E40</f>
        <v>Manutenção</v>
      </c>
      <c r="C32" s="176">
        <f>('Custos Fixos Operacionais'!F40)</f>
        <v>0</v>
      </c>
      <c r="D32" s="267">
        <f t="shared" si="2"/>
        <v>0</v>
      </c>
      <c r="E32" s="168"/>
    </row>
    <row r="33" spans="1:5" ht="14.25">
      <c r="A33" s="168"/>
      <c r="B33" s="264" t="str">
        <f>'Custos Fixos Operacionais'!E41</f>
        <v>Condomínio</v>
      </c>
      <c r="C33" s="176">
        <f>('Custos Fixos Operacionais'!F41)</f>
        <v>0</v>
      </c>
      <c r="D33" s="267">
        <f t="shared" si="2"/>
        <v>0</v>
      </c>
      <c r="E33" s="168"/>
    </row>
    <row r="34" spans="1:5" ht="14.25">
      <c r="A34" s="168"/>
      <c r="B34" s="264" t="str">
        <f>'Custos Fixos Operacionais'!E42</f>
        <v>Despesas de Viagem</v>
      </c>
      <c r="C34" s="176">
        <f>('Custos Fixos Operacionais'!F42)</f>
        <v>0</v>
      </c>
      <c r="D34" s="267">
        <f t="shared" si="2"/>
        <v>0</v>
      </c>
      <c r="E34" s="168"/>
    </row>
    <row r="35" spans="1:5" ht="14.25">
      <c r="A35" s="168"/>
      <c r="B35" s="264" t="str">
        <f>'Custos Fixos Operacionais'!E43</f>
        <v>Serviços de Terceiros</v>
      </c>
      <c r="C35" s="176">
        <f>('Custos Fixos Operacionais'!F43)</f>
        <v>0</v>
      </c>
      <c r="D35" s="267">
        <f t="shared" si="2"/>
        <v>0</v>
      </c>
      <c r="E35" s="168"/>
    </row>
    <row r="36" spans="1:5" ht="14.25">
      <c r="A36" s="168"/>
      <c r="B36" s="264" t="str">
        <f>'Custos Fixos Operacionais'!E44</f>
        <v>Ônibus, Táxis e Selos</v>
      </c>
      <c r="C36" s="176">
        <f>('Custos Fixos Operacionais'!F44)</f>
        <v>0</v>
      </c>
      <c r="D36" s="267">
        <f t="shared" si="2"/>
        <v>0</v>
      </c>
      <c r="E36" s="168"/>
    </row>
    <row r="37" spans="1:5" ht="15" thickBot="1">
      <c r="A37" s="168"/>
      <c r="B37" s="303" t="str">
        <f>'Custos Fixos Operacionais'!E45</f>
        <v>Outros</v>
      </c>
      <c r="C37" s="304">
        <f>'Custos Fixos Operacionais'!F45</f>
        <v>0</v>
      </c>
      <c r="D37" s="267">
        <f aca="true" t="shared" si="3" ref="D37:D42">IF(C37=0,0,(C37/$C$2)*100)</f>
        <v>0</v>
      </c>
      <c r="E37" s="168"/>
    </row>
    <row r="38" spans="1:5" ht="15" thickBot="1">
      <c r="A38" s="168"/>
      <c r="B38" s="132" t="s">
        <v>245</v>
      </c>
      <c r="C38" s="301">
        <f>(C18-C19)</f>
        <v>0</v>
      </c>
      <c r="D38" s="302">
        <f t="shared" si="3"/>
        <v>0</v>
      </c>
      <c r="E38" s="168"/>
    </row>
    <row r="39" spans="1:5" ht="15" thickBot="1">
      <c r="A39" s="168"/>
      <c r="B39" s="264" t="s">
        <v>149</v>
      </c>
      <c r="C39" s="304">
        <f>IF('Preenchimento Preliminar'!C11=1,0,IF(C38&lt;0,0,IF('Custos Variáveis'!G63=1,(C38)*0.12,0)))</f>
        <v>0</v>
      </c>
      <c r="D39" s="267">
        <f t="shared" si="3"/>
        <v>0</v>
      </c>
      <c r="E39" s="168"/>
    </row>
    <row r="40" spans="1:5" ht="15" thickBot="1">
      <c r="A40" s="168"/>
      <c r="B40" s="132" t="s">
        <v>247</v>
      </c>
      <c r="C40" s="214">
        <f>IF(C39=0,C38,(C38-C39))</f>
        <v>0</v>
      </c>
      <c r="D40" s="306">
        <f t="shared" si="3"/>
        <v>0</v>
      </c>
      <c r="E40" s="168"/>
    </row>
    <row r="41" spans="1:5" ht="15" thickBot="1">
      <c r="A41" s="168"/>
      <c r="B41" s="264" t="s">
        <v>150</v>
      </c>
      <c r="C41" s="304">
        <f>IF('Preenchimento Preliminar'!C11=1,0,IF(C40&lt;0,0,IF('Custos Variáveis'!G63=1,(C40*0.25),0)))</f>
        <v>0</v>
      </c>
      <c r="D41" s="267">
        <f t="shared" si="3"/>
        <v>0</v>
      </c>
      <c r="E41" s="168"/>
    </row>
    <row r="42" spans="1:5" ht="15" thickBot="1">
      <c r="A42" s="168"/>
      <c r="B42" s="132" t="s">
        <v>246</v>
      </c>
      <c r="C42" s="214">
        <f>IF(C41=0,C40,(C40-C41))</f>
        <v>0</v>
      </c>
      <c r="D42" s="302">
        <f t="shared" si="3"/>
        <v>0</v>
      </c>
      <c r="E42" s="168"/>
    </row>
    <row r="43" spans="1:5" ht="14.25">
      <c r="A43" s="168"/>
      <c r="B43" s="130" t="s">
        <v>151</v>
      </c>
      <c r="C43" s="168"/>
      <c r="D43" s="168"/>
      <c r="E43" s="168"/>
    </row>
    <row r="44" spans="1:5" ht="14.25">
      <c r="A44" s="168"/>
      <c r="B44" s="130" t="s">
        <v>152</v>
      </c>
      <c r="C44" s="168"/>
      <c r="D44" s="168"/>
      <c r="E44" s="168"/>
    </row>
    <row r="45" spans="1:5" ht="14.25">
      <c r="A45" s="168"/>
      <c r="B45" s="130" t="s">
        <v>153</v>
      </c>
      <c r="C45" s="168"/>
      <c r="D45" s="168"/>
      <c r="E45" s="168"/>
    </row>
    <row r="46" spans="1:5" ht="14.25">
      <c r="A46" s="168"/>
      <c r="D46" s="256" t="s">
        <v>273</v>
      </c>
      <c r="E46" s="168"/>
    </row>
    <row r="47" spans="1:5" ht="14.25">
      <c r="A47" s="168"/>
      <c r="E47" s="168"/>
    </row>
    <row r="48" ht="12.75" hidden="1"/>
    <row r="49" ht="12.75" hidden="1"/>
    <row r="50" ht="12.75" hidden="1"/>
    <row r="51" ht="12.75" hidden="1"/>
  </sheetData>
  <sheetProtection password="C02B" sheet="1" objects="1" scenarios="1"/>
  <hyperlinks>
    <hyperlink ref="D46" location="Início!c14" display="Início!c14"/>
  </hyperlinks>
  <printOptions horizontalCentered="1" verticalCentered="1"/>
  <pageMargins left="0.3937007874015748" right="0.4724409448818898" top="1.0236220472440944" bottom="0.5118110236220472" header="0.6692913385826772" footer="0.5118110236220472"/>
  <pageSetup blackAndWhite="1" horizontalDpi="300" verticalDpi="300" orientation="portrait" scale="75" r:id="rId1"/>
  <headerFooter alignWithMargins="0">
    <oddHeader>&amp;C&amp;"Comic Sans MS,Negrito"&amp;20&amp;A</oddHeader>
    <oddFooter>&amp;L&amp;D &amp;T&amp;R&amp;F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5"/>
  <sheetViews>
    <sheetView showGridLines="0"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37.8515625" style="284" customWidth="1"/>
    <col min="2" max="14" width="16.7109375" style="284" customWidth="1"/>
    <col min="15" max="15" width="9.140625" style="284" customWidth="1"/>
    <col min="16" max="16384" width="0" style="284" hidden="1" customWidth="1"/>
  </cols>
  <sheetData>
    <row r="1" spans="1:14" ht="13.5" thickBot="1">
      <c r="A1" s="256" t="s">
        <v>273</v>
      </c>
      <c r="B1" s="291" t="s">
        <v>221</v>
      </c>
      <c r="C1" s="292" t="s">
        <v>222</v>
      </c>
      <c r="D1" s="292" t="s">
        <v>223</v>
      </c>
      <c r="E1" s="292" t="s">
        <v>224</v>
      </c>
      <c r="F1" s="292" t="s">
        <v>225</v>
      </c>
      <c r="G1" s="292" t="s">
        <v>226</v>
      </c>
      <c r="H1" s="292" t="s">
        <v>227</v>
      </c>
      <c r="I1" s="292" t="s">
        <v>228</v>
      </c>
      <c r="J1" s="292" t="s">
        <v>229</v>
      </c>
      <c r="K1" s="292" t="s">
        <v>230</v>
      </c>
      <c r="L1" s="293" t="s">
        <v>231</v>
      </c>
      <c r="M1" s="294" t="s">
        <v>232</v>
      </c>
      <c r="N1" s="462" t="s">
        <v>71</v>
      </c>
    </row>
    <row r="2" spans="1:14" ht="13.5" thickBot="1">
      <c r="A2" s="298" t="s">
        <v>220</v>
      </c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7"/>
      <c r="N2" s="463"/>
    </row>
    <row r="3" spans="1:14" ht="15" thickBot="1">
      <c r="A3" s="132" t="s">
        <v>144</v>
      </c>
      <c r="B3" s="285">
        <f>IF(B2=0,'Orçamento Receitas e Despesas'!$C$2,'Orçamento Receitas e Despesas'!$C$2*(1+B2))</f>
        <v>0</v>
      </c>
      <c r="C3" s="285">
        <f>IF(C2=0,'Orçamento Receitas e Despesas'!$C$2,'Orçamento Receitas e Despesas'!$C$2*(1+C2))</f>
        <v>0</v>
      </c>
      <c r="D3" s="285">
        <f>IF(D2=0,'Orçamento Receitas e Despesas'!$C$2,'Orçamento Receitas e Despesas'!$C$2*(1+D2))</f>
        <v>0</v>
      </c>
      <c r="E3" s="285">
        <f>IF(E2=0,'Orçamento Receitas e Despesas'!$C$2,'Orçamento Receitas e Despesas'!$C$2*(1+E2))</f>
        <v>0</v>
      </c>
      <c r="F3" s="285">
        <f>IF(F2=0,'Orçamento Receitas e Despesas'!$C$2,'Orçamento Receitas e Despesas'!$C$2*(1+F2))</f>
        <v>0</v>
      </c>
      <c r="G3" s="285">
        <f>IF(G2=0,'Orçamento Receitas e Despesas'!$C$2,'Orçamento Receitas e Despesas'!$C$2*(1+G2))</f>
        <v>0</v>
      </c>
      <c r="H3" s="285">
        <f>IF(H2=0,'Orçamento Receitas e Despesas'!$C$2,'Orçamento Receitas e Despesas'!$C$2*(1+H2))</f>
        <v>0</v>
      </c>
      <c r="I3" s="285">
        <f>IF(I2=0,'Orçamento Receitas e Despesas'!$C$2,'Orçamento Receitas e Despesas'!$C$2*(1+I2))</f>
        <v>0</v>
      </c>
      <c r="J3" s="285">
        <f>IF(J2=0,'Orçamento Receitas e Despesas'!$C$2,'Orçamento Receitas e Despesas'!$C$2*(1+J2))</f>
        <v>0</v>
      </c>
      <c r="K3" s="285">
        <f>IF(K2=0,'Orçamento Receitas e Despesas'!$C$2,'Orçamento Receitas e Despesas'!$C$2*(1+K2))</f>
        <v>0</v>
      </c>
      <c r="L3" s="285">
        <f>IF(L2=0,'Orçamento Receitas e Despesas'!$C$2,'Orçamento Receitas e Despesas'!$C$2*(1+L2))</f>
        <v>0</v>
      </c>
      <c r="M3" s="285">
        <f>IF(M2=0,'Orçamento Receitas e Despesas'!$C$2,'Orçamento Receitas e Despesas'!$C$2*(1+M2))</f>
        <v>0</v>
      </c>
      <c r="N3" s="286">
        <f>SUM(B3:M3)</f>
        <v>0</v>
      </c>
    </row>
    <row r="4" spans="1:14" ht="15" thickBot="1">
      <c r="A4" s="132" t="s">
        <v>145</v>
      </c>
      <c r="B4" s="285">
        <f>SUM(B19:B20)</f>
        <v>0</v>
      </c>
      <c r="C4" s="285">
        <f aca="true" t="shared" si="0" ref="C4:M4">SUM(C19:C20)</f>
        <v>0</v>
      </c>
      <c r="D4" s="285">
        <f t="shared" si="0"/>
        <v>0</v>
      </c>
      <c r="E4" s="285">
        <f t="shared" si="0"/>
        <v>0</v>
      </c>
      <c r="F4" s="285">
        <f t="shared" si="0"/>
        <v>0</v>
      </c>
      <c r="G4" s="285">
        <f t="shared" si="0"/>
        <v>0</v>
      </c>
      <c r="H4" s="285">
        <f t="shared" si="0"/>
        <v>0</v>
      </c>
      <c r="I4" s="285">
        <f t="shared" si="0"/>
        <v>0</v>
      </c>
      <c r="J4" s="285">
        <f t="shared" si="0"/>
        <v>0</v>
      </c>
      <c r="K4" s="285">
        <f t="shared" si="0"/>
        <v>0</v>
      </c>
      <c r="L4" s="285">
        <f t="shared" si="0"/>
        <v>0</v>
      </c>
      <c r="M4" s="285">
        <f t="shared" si="0"/>
        <v>0</v>
      </c>
      <c r="N4" s="286">
        <f aca="true" t="shared" si="1" ref="N4:N11">SUM(B4:M4)</f>
        <v>0</v>
      </c>
    </row>
    <row r="5" spans="1:14" ht="15" thickBot="1">
      <c r="A5" s="132" t="s">
        <v>147</v>
      </c>
      <c r="B5" s="285">
        <f>B3-B4</f>
        <v>0</v>
      </c>
      <c r="C5" s="285">
        <f aca="true" t="shared" si="2" ref="C5:M5">C3-C4</f>
        <v>0</v>
      </c>
      <c r="D5" s="285">
        <f t="shared" si="2"/>
        <v>0</v>
      </c>
      <c r="E5" s="285">
        <f t="shared" si="2"/>
        <v>0</v>
      </c>
      <c r="F5" s="285">
        <f t="shared" si="2"/>
        <v>0</v>
      </c>
      <c r="G5" s="285">
        <f t="shared" si="2"/>
        <v>0</v>
      </c>
      <c r="H5" s="285">
        <f t="shared" si="2"/>
        <v>0</v>
      </c>
      <c r="I5" s="285">
        <f t="shared" si="2"/>
        <v>0</v>
      </c>
      <c r="J5" s="285">
        <f t="shared" si="2"/>
        <v>0</v>
      </c>
      <c r="K5" s="285">
        <f t="shared" si="2"/>
        <v>0</v>
      </c>
      <c r="L5" s="285">
        <f t="shared" si="2"/>
        <v>0</v>
      </c>
      <c r="M5" s="285">
        <f t="shared" si="2"/>
        <v>0</v>
      </c>
      <c r="N5" s="286">
        <f t="shared" si="1"/>
        <v>0</v>
      </c>
    </row>
    <row r="6" spans="1:14" ht="15" thickBot="1">
      <c r="A6" s="132" t="s">
        <v>148</v>
      </c>
      <c r="B6" s="285">
        <f>'Orçamento Receitas e Despesas'!$C$19</f>
        <v>0</v>
      </c>
      <c r="C6" s="285">
        <f>'Orçamento Receitas e Despesas'!$C$19</f>
        <v>0</v>
      </c>
      <c r="D6" s="285">
        <f>'Orçamento Receitas e Despesas'!$C$19</f>
        <v>0</v>
      </c>
      <c r="E6" s="285">
        <f>'Orçamento Receitas e Despesas'!$C$19</f>
        <v>0</v>
      </c>
      <c r="F6" s="285">
        <f>'Orçamento Receitas e Despesas'!$C$19</f>
        <v>0</v>
      </c>
      <c r="G6" s="285">
        <f>'Orçamento Receitas e Despesas'!$C$19</f>
        <v>0</v>
      </c>
      <c r="H6" s="285">
        <f>'Orçamento Receitas e Despesas'!$C$19</f>
        <v>0</v>
      </c>
      <c r="I6" s="285">
        <f>'Orçamento Receitas e Despesas'!$C$19</f>
        <v>0</v>
      </c>
      <c r="J6" s="285">
        <f>'Orçamento Receitas e Despesas'!$C$19</f>
        <v>0</v>
      </c>
      <c r="K6" s="285">
        <f>'Orçamento Receitas e Despesas'!$C$19</f>
        <v>0</v>
      </c>
      <c r="L6" s="285">
        <f>'Orçamento Receitas e Despesas'!$C$19</f>
        <v>0</v>
      </c>
      <c r="M6" s="285">
        <f>'Orçamento Receitas e Despesas'!$C$19</f>
        <v>0</v>
      </c>
      <c r="N6" s="286">
        <f t="shared" si="1"/>
        <v>0</v>
      </c>
    </row>
    <row r="7" spans="1:14" ht="15" thickBot="1">
      <c r="A7" s="132" t="s">
        <v>245</v>
      </c>
      <c r="B7" s="285">
        <f>B5-B6</f>
        <v>0</v>
      </c>
      <c r="C7" s="285">
        <f aca="true" t="shared" si="3" ref="C7:M7">C5-C6</f>
        <v>0</v>
      </c>
      <c r="D7" s="285">
        <f t="shared" si="3"/>
        <v>0</v>
      </c>
      <c r="E7" s="285">
        <f t="shared" si="3"/>
        <v>0</v>
      </c>
      <c r="F7" s="285">
        <f t="shared" si="3"/>
        <v>0</v>
      </c>
      <c r="G7" s="285">
        <f t="shared" si="3"/>
        <v>0</v>
      </c>
      <c r="H7" s="285">
        <f t="shared" si="3"/>
        <v>0</v>
      </c>
      <c r="I7" s="285">
        <f t="shared" si="3"/>
        <v>0</v>
      </c>
      <c r="J7" s="285">
        <f t="shared" si="3"/>
        <v>0</v>
      </c>
      <c r="K7" s="285">
        <f t="shared" si="3"/>
        <v>0</v>
      </c>
      <c r="L7" s="285">
        <f t="shared" si="3"/>
        <v>0</v>
      </c>
      <c r="M7" s="285">
        <f t="shared" si="3"/>
        <v>0</v>
      </c>
      <c r="N7" s="286">
        <f t="shared" si="1"/>
        <v>0</v>
      </c>
    </row>
    <row r="8" spans="1:14" ht="15" thickBot="1">
      <c r="A8" s="264" t="s">
        <v>149</v>
      </c>
      <c r="B8" s="287">
        <f>IF('Preenchimento Preliminar'!$C$11=1,0,IF(B7&lt;0,0,IF('Custos Variáveis'!G63=1,(B7)*0.12,0)))</f>
        <v>0</v>
      </c>
      <c r="C8" s="287">
        <f>IF('Preenchimento Preliminar'!$C$11=1,0,IF(C7&lt;0,0,IF('Custos Variáveis'!H63=1,(C7)*0.12,0)))</f>
        <v>0</v>
      </c>
      <c r="D8" s="287">
        <f>IF('Preenchimento Preliminar'!$C$11=1,0,IF(D7&lt;0,0,IF('Custos Variáveis'!#REF!=1,(D7)*0.12,0)))</f>
        <v>0</v>
      </c>
      <c r="E8" s="287">
        <f>IF('Preenchimento Preliminar'!$C$11=1,0,IF(E7&lt;0,0,IF('Custos Variáveis'!#REF!=1,(E7)*0.12,0)))</f>
        <v>0</v>
      </c>
      <c r="F8" s="287">
        <f>IF('Preenchimento Preliminar'!$C$11=1,0,IF(F7&lt;0,0,IF('Custos Variáveis'!#REF!=1,(F7)*0.12,0)))</f>
        <v>0</v>
      </c>
      <c r="G8" s="287">
        <f>IF('Preenchimento Preliminar'!$C$11=1,0,IF(G7&lt;0,0,IF('Custos Variáveis'!#REF!=1,(G7)*0.12,0)))</f>
        <v>0</v>
      </c>
      <c r="H8" s="287">
        <f>IF('Preenchimento Preliminar'!$C$11=1,0,IF(H7&lt;0,0,IF('Custos Variáveis'!#REF!=1,(H7)*0.12,0)))</f>
        <v>0</v>
      </c>
      <c r="I8" s="287">
        <f>IF('Preenchimento Preliminar'!$C$11=1,0,IF(I7&lt;0,0,IF('Custos Variáveis'!#REF!=1,(I7)*0.12,0)))</f>
        <v>0</v>
      </c>
      <c r="J8" s="287">
        <f>IF('Preenchimento Preliminar'!$C$11=1,0,IF(J7&lt;0,0,IF('Custos Variáveis'!#REF!=1,(J7)*0.12,0)))</f>
        <v>0</v>
      </c>
      <c r="K8" s="287">
        <f>IF('Preenchimento Preliminar'!$C$11=1,0,IF(K7&lt;0,0,IF('Custos Variáveis'!#REF!=1,(K7)*0.12,0)))</f>
        <v>0</v>
      </c>
      <c r="L8" s="287">
        <f>IF('Preenchimento Preliminar'!$C$11=1,0,IF(L7&lt;0,0,IF('Custos Variáveis'!#REF!=1,(L7)*0.12,0)))</f>
        <v>0</v>
      </c>
      <c r="M8" s="287">
        <f>IF('Preenchimento Preliminar'!$C$11=1,0,IF(M7&lt;0,0,IF('Custos Variáveis'!#REF!=1,(M7)*0.12,0)))</f>
        <v>0</v>
      </c>
      <c r="N8" s="288">
        <f t="shared" si="1"/>
        <v>0</v>
      </c>
    </row>
    <row r="9" spans="1:14" ht="15" thickBot="1">
      <c r="A9" s="132" t="s">
        <v>247</v>
      </c>
      <c r="B9" s="285">
        <f>B7-B8</f>
        <v>0</v>
      </c>
      <c r="C9" s="285">
        <f aca="true" t="shared" si="4" ref="C9:M9">C7-C8</f>
        <v>0</v>
      </c>
      <c r="D9" s="285">
        <f t="shared" si="4"/>
        <v>0</v>
      </c>
      <c r="E9" s="285">
        <f t="shared" si="4"/>
        <v>0</v>
      </c>
      <c r="F9" s="285">
        <f t="shared" si="4"/>
        <v>0</v>
      </c>
      <c r="G9" s="285">
        <f t="shared" si="4"/>
        <v>0</v>
      </c>
      <c r="H9" s="285">
        <f t="shared" si="4"/>
        <v>0</v>
      </c>
      <c r="I9" s="285">
        <f t="shared" si="4"/>
        <v>0</v>
      </c>
      <c r="J9" s="285">
        <f t="shared" si="4"/>
        <v>0</v>
      </c>
      <c r="K9" s="285">
        <f t="shared" si="4"/>
        <v>0</v>
      </c>
      <c r="L9" s="285">
        <f t="shared" si="4"/>
        <v>0</v>
      </c>
      <c r="M9" s="285">
        <f t="shared" si="4"/>
        <v>0</v>
      </c>
      <c r="N9" s="286">
        <f t="shared" si="1"/>
        <v>0</v>
      </c>
    </row>
    <row r="10" spans="1:14" ht="15" thickBot="1">
      <c r="A10" s="264" t="s">
        <v>150</v>
      </c>
      <c r="B10" s="287">
        <f>IF('Preenchimento Preliminar'!$C$11=1,0,IF(B9&lt;0,0,IF('Custos Variáveis'!$G$63=1,(B9*0.25),0)))</f>
        <v>0</v>
      </c>
      <c r="C10" s="287">
        <f>IF('Preenchimento Preliminar'!$C$11=1,0,IF(C9&lt;0,0,IF('Custos Variáveis'!$G$63=1,(C9*0.25),0)))</f>
        <v>0</v>
      </c>
      <c r="D10" s="287">
        <f>IF('Preenchimento Preliminar'!$C$11=1,0,IF(D9&lt;0,0,IF('Custos Variáveis'!$G$63=1,(D9*0.25),0)))</f>
        <v>0</v>
      </c>
      <c r="E10" s="287">
        <f>IF('Preenchimento Preliminar'!$C$11=1,0,IF(E9&lt;0,0,IF('Custos Variáveis'!$G$63=1,(E9*0.25),0)))</f>
        <v>0</v>
      </c>
      <c r="F10" s="287">
        <f>IF('Preenchimento Preliminar'!$C$11=1,0,IF(F9&lt;0,0,IF('Custos Variáveis'!$G$63=1,(F9*0.25),0)))</f>
        <v>0</v>
      </c>
      <c r="G10" s="287">
        <f>IF('Preenchimento Preliminar'!$C$11=1,0,IF(G9&lt;0,0,IF('Custos Variáveis'!$G$63=1,(G9*0.25),0)))</f>
        <v>0</v>
      </c>
      <c r="H10" s="287">
        <f>IF('Preenchimento Preliminar'!$C$11=1,0,IF(H9&lt;0,0,IF('Custos Variáveis'!$G$63=1,(H9*0.25),0)))</f>
        <v>0</v>
      </c>
      <c r="I10" s="287">
        <f>IF('Preenchimento Preliminar'!$C$11=1,0,IF(I9&lt;0,0,IF('Custos Variáveis'!$G$63=1,(I9*0.25),0)))</f>
        <v>0</v>
      </c>
      <c r="J10" s="287">
        <f>IF('Preenchimento Preliminar'!$C$11=1,0,IF(J9&lt;0,0,IF('Custos Variáveis'!$G$63=1,(J9*0.25),0)))</f>
        <v>0</v>
      </c>
      <c r="K10" s="287">
        <f>IF('Preenchimento Preliminar'!$C$11=1,0,IF(K9&lt;0,0,IF('Custos Variáveis'!$G$63=1,(K9*0.25),0)))</f>
        <v>0</v>
      </c>
      <c r="L10" s="287">
        <f>IF('Preenchimento Preliminar'!$C$11=1,0,IF(L9&lt;0,0,IF('Custos Variáveis'!$G$63=1,(L9*0.25),0)))</f>
        <v>0</v>
      </c>
      <c r="M10" s="287">
        <f>IF('Preenchimento Preliminar'!$C$11=1,0,IF(M9&lt;0,0,IF('Custos Variáveis'!$G$63=1,(M9*0.25),0)))</f>
        <v>0</v>
      </c>
      <c r="N10" s="288">
        <f t="shared" si="1"/>
        <v>0</v>
      </c>
    </row>
    <row r="11" spans="1:14" ht="15" thickBot="1">
      <c r="A11" s="132" t="s">
        <v>246</v>
      </c>
      <c r="B11" s="285">
        <f>B9-B10</f>
        <v>0</v>
      </c>
      <c r="C11" s="285">
        <f aca="true" t="shared" si="5" ref="C11:M11">C9-C10</f>
        <v>0</v>
      </c>
      <c r="D11" s="285">
        <f t="shared" si="5"/>
        <v>0</v>
      </c>
      <c r="E11" s="285">
        <f t="shared" si="5"/>
        <v>0</v>
      </c>
      <c r="F11" s="285">
        <f t="shared" si="5"/>
        <v>0</v>
      </c>
      <c r="G11" s="285">
        <f t="shared" si="5"/>
        <v>0</v>
      </c>
      <c r="H11" s="285">
        <f t="shared" si="5"/>
        <v>0</v>
      </c>
      <c r="I11" s="285">
        <f t="shared" si="5"/>
        <v>0</v>
      </c>
      <c r="J11" s="285">
        <f t="shared" si="5"/>
        <v>0</v>
      </c>
      <c r="K11" s="285">
        <f t="shared" si="5"/>
        <v>0</v>
      </c>
      <c r="L11" s="285">
        <f t="shared" si="5"/>
        <v>0</v>
      </c>
      <c r="M11" s="285">
        <f t="shared" si="5"/>
        <v>0</v>
      </c>
      <c r="N11" s="286">
        <f t="shared" si="1"/>
        <v>0</v>
      </c>
    </row>
    <row r="12" spans="1:14" s="418" customFormat="1" ht="15" thickBot="1">
      <c r="A12" s="464" t="s">
        <v>410</v>
      </c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15"/>
    </row>
    <row r="13" spans="1:14" ht="14.25">
      <c r="A13" s="232" t="s">
        <v>405</v>
      </c>
      <c r="B13" s="423">
        <f>B3</f>
        <v>0</v>
      </c>
      <c r="C13" s="423">
        <f>B13+C3</f>
        <v>0</v>
      </c>
      <c r="D13" s="423">
        <f aca="true" t="shared" si="6" ref="D13:M13">C13+D3</f>
        <v>0</v>
      </c>
      <c r="E13" s="423">
        <f t="shared" si="6"/>
        <v>0</v>
      </c>
      <c r="F13" s="423">
        <f t="shared" si="6"/>
        <v>0</v>
      </c>
      <c r="G13" s="423">
        <f t="shared" si="6"/>
        <v>0</v>
      </c>
      <c r="H13" s="423">
        <f t="shared" si="6"/>
        <v>0</v>
      </c>
      <c r="I13" s="423">
        <f t="shared" si="6"/>
        <v>0</v>
      </c>
      <c r="J13" s="423">
        <f t="shared" si="6"/>
        <v>0</v>
      </c>
      <c r="K13" s="423">
        <f t="shared" si="6"/>
        <v>0</v>
      </c>
      <c r="L13" s="423">
        <f t="shared" si="6"/>
        <v>0</v>
      </c>
      <c r="M13" s="424">
        <f t="shared" si="6"/>
        <v>0</v>
      </c>
      <c r="N13" s="415"/>
    </row>
    <row r="14" spans="1:14" ht="14.25" hidden="1">
      <c r="A14" s="425" t="s">
        <v>406</v>
      </c>
      <c r="B14" s="420">
        <f>IF(B15=0,B16,B15)</f>
        <v>3</v>
      </c>
      <c r="C14" s="420">
        <f aca="true" t="shared" si="7" ref="C14:M14">IF(C15=0,C16,C15)</f>
        <v>3</v>
      </c>
      <c r="D14" s="420">
        <f t="shared" si="7"/>
        <v>3</v>
      </c>
      <c r="E14" s="420">
        <f t="shared" si="7"/>
        <v>3</v>
      </c>
      <c r="F14" s="420">
        <f t="shared" si="7"/>
        <v>3</v>
      </c>
      <c r="G14" s="420">
        <f t="shared" si="7"/>
        <v>3</v>
      </c>
      <c r="H14" s="420">
        <f t="shared" si="7"/>
        <v>3</v>
      </c>
      <c r="I14" s="420">
        <f t="shared" si="7"/>
        <v>3</v>
      </c>
      <c r="J14" s="420">
        <f t="shared" si="7"/>
        <v>3</v>
      </c>
      <c r="K14" s="420">
        <f t="shared" si="7"/>
        <v>3</v>
      </c>
      <c r="L14" s="420">
        <f t="shared" si="7"/>
        <v>3</v>
      </c>
      <c r="M14" s="426">
        <f t="shared" si="7"/>
        <v>3</v>
      </c>
      <c r="N14" s="415"/>
    </row>
    <row r="15" spans="1:14" ht="14.25" hidden="1">
      <c r="A15" s="425"/>
      <c r="B15" s="419">
        <f>IF(B13&lt;=60000,3,IF(B13&lt;=90000,4,IF(B13&lt;=120000,5,IF(B13&lt;=240000,5.4,IF(B13&lt;=360000,5.8,IF(B13&lt;=480000,6.2,IF(B13&gt;480000,0)))))))</f>
        <v>3</v>
      </c>
      <c r="C15" s="419">
        <f aca="true" t="shared" si="8" ref="C15:M15">IF(C13&lt;=60000,3,IF(C13&lt;=90000,4,IF(C13&lt;=120000,5,IF(C13&lt;=240000,5.4,IF(C13&lt;=360000,5.8,IF(C13&lt;=480000,6.2,IF(C13&gt;480000,0)))))))</f>
        <v>3</v>
      </c>
      <c r="D15" s="419">
        <f t="shared" si="8"/>
        <v>3</v>
      </c>
      <c r="E15" s="419">
        <f t="shared" si="8"/>
        <v>3</v>
      </c>
      <c r="F15" s="419">
        <f t="shared" si="8"/>
        <v>3</v>
      </c>
      <c r="G15" s="419">
        <f t="shared" si="8"/>
        <v>3</v>
      </c>
      <c r="H15" s="419">
        <f t="shared" si="8"/>
        <v>3</v>
      </c>
      <c r="I15" s="419">
        <f t="shared" si="8"/>
        <v>3</v>
      </c>
      <c r="J15" s="419">
        <f t="shared" si="8"/>
        <v>3</v>
      </c>
      <c r="K15" s="419">
        <f t="shared" si="8"/>
        <v>3</v>
      </c>
      <c r="L15" s="419">
        <f t="shared" si="8"/>
        <v>3</v>
      </c>
      <c r="M15" s="427">
        <f t="shared" si="8"/>
        <v>3</v>
      </c>
      <c r="N15" s="415"/>
    </row>
    <row r="16" spans="1:14" ht="14.25" hidden="1">
      <c r="A16" s="425"/>
      <c r="B16" s="419">
        <f>IF(B13&lt;=480000,0,IF(B13&lt;=600000,6.6,IF(B13&lt;=720000,7,IF(B13&lt;=840000,7.4,IF(B13&lt;=960000,7.8,IF(B13&lt;=1080000,8.2,IF(B13&lt;=1200000,8.6)))))))</f>
        <v>0</v>
      </c>
      <c r="C16" s="419">
        <f aca="true" t="shared" si="9" ref="C16:M16">IF(C13&lt;=480000,0,IF(C13&lt;=600000,6.6,IF(C13&lt;=720000,7,IF(C13&lt;=840000,7.4,IF(C13&lt;=960000,7.8,IF(C13&lt;=1080000,8.2,IF(C13&lt;=1200000,8.6)))))))</f>
        <v>0</v>
      </c>
      <c r="D16" s="419">
        <f t="shared" si="9"/>
        <v>0</v>
      </c>
      <c r="E16" s="419">
        <f t="shared" si="9"/>
        <v>0</v>
      </c>
      <c r="F16" s="419">
        <f t="shared" si="9"/>
        <v>0</v>
      </c>
      <c r="G16" s="419">
        <f t="shared" si="9"/>
        <v>0</v>
      </c>
      <c r="H16" s="419">
        <f t="shared" si="9"/>
        <v>0</v>
      </c>
      <c r="I16" s="419">
        <f t="shared" si="9"/>
        <v>0</v>
      </c>
      <c r="J16" s="419">
        <f t="shared" si="9"/>
        <v>0</v>
      </c>
      <c r="K16" s="419">
        <f t="shared" si="9"/>
        <v>0</v>
      </c>
      <c r="L16" s="419">
        <f t="shared" si="9"/>
        <v>0</v>
      </c>
      <c r="M16" s="427">
        <f t="shared" si="9"/>
        <v>0</v>
      </c>
      <c r="N16" s="415"/>
    </row>
    <row r="17" spans="1:14" ht="14.25">
      <c r="A17" s="425" t="s">
        <v>409</v>
      </c>
      <c r="B17" s="421">
        <f>IF('Preenchimento Preliminar'!$C$11=2,0,IF('Preenchimento Preliminar'!$B$3=2,B14,IF('Preenchimento Preliminar'!$B$3=1,B14+0.5,IF('Preenchimento Preliminar'!$B$3=3,B14))))/100</f>
        <v>0.03</v>
      </c>
      <c r="C17" s="421">
        <f>IF('Preenchimento Preliminar'!$C$11=2,0,IF('Preenchimento Preliminar'!$B$3=2,C14,IF('Preenchimento Preliminar'!$B$3=1,C14+0.5,IF('Preenchimento Preliminar'!$B$3=3,C14))))/100</f>
        <v>0.03</v>
      </c>
      <c r="D17" s="421">
        <f>IF('Preenchimento Preliminar'!$C$11=2,0,IF('Preenchimento Preliminar'!$B$3=2,D14,IF('Preenchimento Preliminar'!$B$3=1,D14+0.5,IF('Preenchimento Preliminar'!$B$3=3,D14))))/100</f>
        <v>0.03</v>
      </c>
      <c r="E17" s="421">
        <f>IF('Preenchimento Preliminar'!$C$11=2,0,IF('Preenchimento Preliminar'!$B$3=2,E14,IF('Preenchimento Preliminar'!$B$3=1,E14+0.5,IF('Preenchimento Preliminar'!$B$3=3,E14))))/100</f>
        <v>0.03</v>
      </c>
      <c r="F17" s="421">
        <f>IF('Preenchimento Preliminar'!$C$11=2,0,IF('Preenchimento Preliminar'!$B$3=2,F14,IF('Preenchimento Preliminar'!$B$3=1,F14+0.5,IF('Preenchimento Preliminar'!$B$3=3,F14))))/100</f>
        <v>0.03</v>
      </c>
      <c r="G17" s="421">
        <f>IF('Preenchimento Preliminar'!$C$11=2,0,IF('Preenchimento Preliminar'!$B$3=2,G14,IF('Preenchimento Preliminar'!$B$3=1,G14+0.5,IF('Preenchimento Preliminar'!$B$3=3,G14))))/100</f>
        <v>0.03</v>
      </c>
      <c r="H17" s="421">
        <f>IF('Preenchimento Preliminar'!$C$11=2,0,IF('Preenchimento Preliminar'!$B$3=2,H14,IF('Preenchimento Preliminar'!$B$3=1,H14+0.5,IF('Preenchimento Preliminar'!$B$3=3,H14))))/100</f>
        <v>0.03</v>
      </c>
      <c r="I17" s="421">
        <f>IF('Preenchimento Preliminar'!$C$11=2,0,IF('Preenchimento Preliminar'!$B$3=2,I14,IF('Preenchimento Preliminar'!$B$3=1,I14+0.5,IF('Preenchimento Preliminar'!$B$3=3,I14))))/100</f>
        <v>0.03</v>
      </c>
      <c r="J17" s="421">
        <f>IF('Preenchimento Preliminar'!$C$11=2,0,IF('Preenchimento Preliminar'!$B$3=2,J14,IF('Preenchimento Preliminar'!$B$3=1,J14+0.5,IF('Preenchimento Preliminar'!$B$3=3,J14))))/100</f>
        <v>0.03</v>
      </c>
      <c r="K17" s="421">
        <f>IF('Preenchimento Preliminar'!$C$11=2,0,IF('Preenchimento Preliminar'!$B$3=2,K14,IF('Preenchimento Preliminar'!$B$3=1,K14+0.5,IF('Preenchimento Preliminar'!$B$3=3,K14))))/100</f>
        <v>0.03</v>
      </c>
      <c r="L17" s="421">
        <f>IF('Preenchimento Preliminar'!$C$11=2,0,IF('Preenchimento Preliminar'!$B$3=2,L14,IF('Preenchimento Preliminar'!$B$3=1,L14+0.5,IF('Preenchimento Preliminar'!$B$3=3,L14))))/100</f>
        <v>0.03</v>
      </c>
      <c r="M17" s="428">
        <f>IF('Preenchimento Preliminar'!$C$11=2,0,IF('Preenchimento Preliminar'!$B$3=2,M14,IF('Preenchimento Preliminar'!$B$3=1,M14+0.5,IF('Preenchimento Preliminar'!$B$3=3,M14))))/100</f>
        <v>0.03</v>
      </c>
      <c r="N17" s="415"/>
    </row>
    <row r="18" spans="1:14" ht="14.25" hidden="1">
      <c r="A18" s="425"/>
      <c r="B18" s="422">
        <f>IF(B2=0,'Orçamento Receitas e Despesas'!$C$5,'Orçamento Receitas e Despesas'!$C$5*(1+B2))</f>
        <v>0</v>
      </c>
      <c r="C18" s="422">
        <f>IF(C2=0,'Orçamento Receitas e Despesas'!$C$5,'Orçamento Receitas e Despesas'!$C$5*(1+C2))</f>
        <v>0</v>
      </c>
      <c r="D18" s="422">
        <f>IF(D2=0,'Orçamento Receitas e Despesas'!$C$5,'Orçamento Receitas e Despesas'!$C$5*(1+D2))</f>
        <v>0</v>
      </c>
      <c r="E18" s="422">
        <f>IF(E2=0,'Orçamento Receitas e Despesas'!$C$5,'Orçamento Receitas e Despesas'!$C$5*(1+E2))</f>
        <v>0</v>
      </c>
      <c r="F18" s="422">
        <f>IF(F2=0,'Orçamento Receitas e Despesas'!$C$5,'Orçamento Receitas e Despesas'!$C$5*(1+F2))</f>
        <v>0</v>
      </c>
      <c r="G18" s="422">
        <f>IF(G2=0,'Orçamento Receitas e Despesas'!$C$5,'Orçamento Receitas e Despesas'!$C$5*(1+G2))</f>
        <v>0</v>
      </c>
      <c r="H18" s="422">
        <f>IF(H2=0,'Orçamento Receitas e Despesas'!$C$5,'Orçamento Receitas e Despesas'!$C$5*(1+H2))</f>
        <v>0</v>
      </c>
      <c r="I18" s="422">
        <f>IF(I2=0,'Orçamento Receitas e Despesas'!$C$5,'Orçamento Receitas e Despesas'!$C$5*(1+I2))</f>
        <v>0</v>
      </c>
      <c r="J18" s="422">
        <f>IF(J2=0,'Orçamento Receitas e Despesas'!$C$5,'Orçamento Receitas e Despesas'!$C$5*(1+J2))</f>
        <v>0</v>
      </c>
      <c r="K18" s="422">
        <f>IF(K2=0,'Orçamento Receitas e Despesas'!$C$5,'Orçamento Receitas e Despesas'!$C$5*(1+K2))</f>
        <v>0</v>
      </c>
      <c r="L18" s="422">
        <f>IF(L2=0,'Orçamento Receitas e Despesas'!$C$5,'Orçamento Receitas e Despesas'!$C$5*(1+L2))</f>
        <v>0</v>
      </c>
      <c r="M18" s="429">
        <f>IF(M2=0,'Orçamento Receitas e Despesas'!$C$5,'Orçamento Receitas e Despesas'!$C$5*(1+M2))</f>
        <v>0</v>
      </c>
      <c r="N18" s="415"/>
    </row>
    <row r="19" spans="1:14" ht="14.25" hidden="1">
      <c r="A19" s="425" t="s">
        <v>408</v>
      </c>
      <c r="B19" s="419">
        <f>B18-'Orçamento Receitas e Despesas'!$C$7</f>
        <v>0</v>
      </c>
      <c r="C19" s="419">
        <f>C18-'Orçamento Receitas e Despesas'!$C$7</f>
        <v>0</v>
      </c>
      <c r="D19" s="419">
        <f>D18-'Orçamento Receitas e Despesas'!$C$7</f>
        <v>0</v>
      </c>
      <c r="E19" s="419">
        <f>E18-'Orçamento Receitas e Despesas'!$C$7</f>
        <v>0</v>
      </c>
      <c r="F19" s="419">
        <f>F18-'Orçamento Receitas e Despesas'!$C$7</f>
        <v>0</v>
      </c>
      <c r="G19" s="419">
        <f>G18-'Orçamento Receitas e Despesas'!$C$7</f>
        <v>0</v>
      </c>
      <c r="H19" s="419">
        <f>H18-'Orçamento Receitas e Despesas'!$C$7</f>
        <v>0</v>
      </c>
      <c r="I19" s="419">
        <f>I18-'Orçamento Receitas e Despesas'!$C$7</f>
        <v>0</v>
      </c>
      <c r="J19" s="419">
        <f>J18-'Orçamento Receitas e Despesas'!$C$7</f>
        <v>0</v>
      </c>
      <c r="K19" s="419">
        <f>K18-'Orçamento Receitas e Despesas'!$C$7</f>
        <v>0</v>
      </c>
      <c r="L19" s="419">
        <f>L18-'Orçamento Receitas e Despesas'!$C$7</f>
        <v>0</v>
      </c>
      <c r="M19" s="427">
        <f>M18-'Orçamento Receitas e Despesas'!$C$7</f>
        <v>0</v>
      </c>
      <c r="N19" s="415"/>
    </row>
    <row r="20" spans="1:13" ht="15" thickBot="1">
      <c r="A20" s="430" t="s">
        <v>406</v>
      </c>
      <c r="B20" s="431">
        <f>B3*B17</f>
        <v>0</v>
      </c>
      <c r="C20" s="431">
        <f aca="true" t="shared" si="10" ref="C20:M20">C3*C17</f>
        <v>0</v>
      </c>
      <c r="D20" s="431">
        <f t="shared" si="10"/>
        <v>0</v>
      </c>
      <c r="E20" s="431">
        <f t="shared" si="10"/>
        <v>0</v>
      </c>
      <c r="F20" s="431">
        <f t="shared" si="10"/>
        <v>0</v>
      </c>
      <c r="G20" s="431">
        <f t="shared" si="10"/>
        <v>0</v>
      </c>
      <c r="H20" s="431">
        <f t="shared" si="10"/>
        <v>0</v>
      </c>
      <c r="I20" s="431">
        <f t="shared" si="10"/>
        <v>0</v>
      </c>
      <c r="J20" s="431">
        <f t="shared" si="10"/>
        <v>0</v>
      </c>
      <c r="K20" s="431">
        <f t="shared" si="10"/>
        <v>0</v>
      </c>
      <c r="L20" s="431">
        <f t="shared" si="10"/>
        <v>0</v>
      </c>
      <c r="M20" s="432">
        <f t="shared" si="10"/>
        <v>0</v>
      </c>
    </row>
    <row r="21" spans="1:13" ht="12.75" hidden="1">
      <c r="A21" s="284" t="s">
        <v>407</v>
      </c>
      <c r="B21" s="417">
        <f>SUM(B19:B20)</f>
        <v>0</v>
      </c>
      <c r="C21" s="417">
        <f aca="true" t="shared" si="11" ref="C21:M21">SUM(C19:C20)</f>
        <v>0</v>
      </c>
      <c r="D21" s="417">
        <f t="shared" si="11"/>
        <v>0</v>
      </c>
      <c r="E21" s="417">
        <f t="shared" si="11"/>
        <v>0</v>
      </c>
      <c r="F21" s="417">
        <f t="shared" si="11"/>
        <v>0</v>
      </c>
      <c r="G21" s="417">
        <f t="shared" si="11"/>
        <v>0</v>
      </c>
      <c r="H21" s="417">
        <f t="shared" si="11"/>
        <v>0</v>
      </c>
      <c r="I21" s="417">
        <f t="shared" si="11"/>
        <v>0</v>
      </c>
      <c r="J21" s="417">
        <f t="shared" si="11"/>
        <v>0</v>
      </c>
      <c r="K21" s="417">
        <f t="shared" si="11"/>
        <v>0</v>
      </c>
      <c r="L21" s="417">
        <f t="shared" si="11"/>
        <v>0</v>
      </c>
      <c r="M21" s="417">
        <f t="shared" si="11"/>
        <v>0</v>
      </c>
    </row>
    <row r="22" spans="2:13" ht="12.75">
      <c r="B22" s="289" t="s">
        <v>221</v>
      </c>
      <c r="C22" s="289" t="s">
        <v>222</v>
      </c>
      <c r="D22" s="289" t="s">
        <v>223</v>
      </c>
      <c r="E22" s="289" t="s">
        <v>224</v>
      </c>
      <c r="F22" s="289" t="s">
        <v>225</v>
      </c>
      <c r="G22" s="289" t="s">
        <v>226</v>
      </c>
      <c r="H22" s="289" t="s">
        <v>227</v>
      </c>
      <c r="I22" s="289" t="s">
        <v>228</v>
      </c>
      <c r="J22" s="289" t="s">
        <v>229</v>
      </c>
      <c r="K22" s="289" t="s">
        <v>230</v>
      </c>
      <c r="L22" s="289" t="s">
        <v>231</v>
      </c>
      <c r="M22" s="289" t="s">
        <v>232</v>
      </c>
    </row>
    <row r="23" spans="1:13" ht="12.75">
      <c r="A23" s="290" t="str">
        <f>A3</f>
        <v> 1. Receita Total</v>
      </c>
      <c r="B23" s="290">
        <f aca="true" t="shared" si="12" ref="B23:M23">B3</f>
        <v>0</v>
      </c>
      <c r="C23" s="290">
        <f t="shared" si="12"/>
        <v>0</v>
      </c>
      <c r="D23" s="290">
        <f t="shared" si="12"/>
        <v>0</v>
      </c>
      <c r="E23" s="290">
        <f t="shared" si="12"/>
        <v>0</v>
      </c>
      <c r="F23" s="290">
        <f t="shared" si="12"/>
        <v>0</v>
      </c>
      <c r="G23" s="290">
        <f t="shared" si="12"/>
        <v>0</v>
      </c>
      <c r="H23" s="290">
        <f t="shared" si="12"/>
        <v>0</v>
      </c>
      <c r="I23" s="290">
        <f t="shared" si="12"/>
        <v>0</v>
      </c>
      <c r="J23" s="290">
        <f t="shared" si="12"/>
        <v>0</v>
      </c>
      <c r="K23" s="290">
        <f t="shared" si="12"/>
        <v>0</v>
      </c>
      <c r="L23" s="290">
        <f t="shared" si="12"/>
        <v>0</v>
      </c>
      <c r="M23" s="290">
        <f t="shared" si="12"/>
        <v>0</v>
      </c>
    </row>
    <row r="24" spans="1:13" ht="12.75">
      <c r="A24" s="290" t="s">
        <v>235</v>
      </c>
      <c r="B24" s="290">
        <f>B4+B6+B8+B10</f>
        <v>0</v>
      </c>
      <c r="C24" s="290">
        <f aca="true" t="shared" si="13" ref="C24:M24">C4+C6+C8+C10</f>
        <v>0</v>
      </c>
      <c r="D24" s="290">
        <f t="shared" si="13"/>
        <v>0</v>
      </c>
      <c r="E24" s="290">
        <f t="shared" si="13"/>
        <v>0</v>
      </c>
      <c r="F24" s="290">
        <f t="shared" si="13"/>
        <v>0</v>
      </c>
      <c r="G24" s="290">
        <f t="shared" si="13"/>
        <v>0</v>
      </c>
      <c r="H24" s="290">
        <f t="shared" si="13"/>
        <v>0</v>
      </c>
      <c r="I24" s="290">
        <f t="shared" si="13"/>
        <v>0</v>
      </c>
      <c r="J24" s="290">
        <f t="shared" si="13"/>
        <v>0</v>
      </c>
      <c r="K24" s="290">
        <f t="shared" si="13"/>
        <v>0</v>
      </c>
      <c r="L24" s="290">
        <f t="shared" si="13"/>
        <v>0</v>
      </c>
      <c r="M24" s="290">
        <f t="shared" si="13"/>
        <v>0</v>
      </c>
    </row>
    <row r="25" spans="1:13" ht="12.75">
      <c r="A25" s="290" t="str">
        <f aca="true" t="shared" si="14" ref="A25:M25">A11</f>
        <v> 7. Resultado</v>
      </c>
      <c r="B25" s="290">
        <f t="shared" si="14"/>
        <v>0</v>
      </c>
      <c r="C25" s="290">
        <f t="shared" si="14"/>
        <v>0</v>
      </c>
      <c r="D25" s="290">
        <f t="shared" si="14"/>
        <v>0</v>
      </c>
      <c r="E25" s="290">
        <f t="shared" si="14"/>
        <v>0</v>
      </c>
      <c r="F25" s="290">
        <f t="shared" si="14"/>
        <v>0</v>
      </c>
      <c r="G25" s="290">
        <f t="shared" si="14"/>
        <v>0</v>
      </c>
      <c r="H25" s="290">
        <f t="shared" si="14"/>
        <v>0</v>
      </c>
      <c r="I25" s="290">
        <f t="shared" si="14"/>
        <v>0</v>
      </c>
      <c r="J25" s="290">
        <f t="shared" si="14"/>
        <v>0</v>
      </c>
      <c r="K25" s="290">
        <f t="shared" si="14"/>
        <v>0</v>
      </c>
      <c r="L25" s="290">
        <f t="shared" si="14"/>
        <v>0</v>
      </c>
      <c r="M25" s="290">
        <f t="shared" si="14"/>
        <v>0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 password="C02B" sheet="1" objects="1" scenarios="1"/>
  <mergeCells count="2">
    <mergeCell ref="N1:N2"/>
    <mergeCell ref="A12:M12"/>
  </mergeCells>
  <hyperlinks>
    <hyperlink ref="A1" location="Início!c15" display="Início!c15"/>
  </hyperlinks>
  <printOptions horizontalCentered="1" verticalCentered="1"/>
  <pageMargins left="0.2755905511811024" right="0.4724409448818898" top="0.984251968503937" bottom="0.984251968503937" header="0.5118110236220472" footer="0.5118110236220472"/>
  <pageSetup fitToHeight="1" fitToWidth="1" horizontalDpi="300" verticalDpi="300" orientation="landscape" paperSize="9" scale="55" r:id="rId4"/>
  <headerFooter alignWithMargins="0">
    <oddFooter>&amp;C&amp;F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E29"/>
  <sheetViews>
    <sheetView showGridLines="0" zoomScale="75" zoomScaleNormal="75" workbookViewId="0" topLeftCell="A1">
      <selection activeCell="D27" sqref="D27"/>
    </sheetView>
  </sheetViews>
  <sheetFormatPr defaultColWidth="9.140625" defaultRowHeight="12.75" zeroHeight="1"/>
  <cols>
    <col min="1" max="1" width="68.57421875" style="63" customWidth="1"/>
    <col min="2" max="2" width="2.140625" style="63" customWidth="1"/>
    <col min="3" max="3" width="5.140625" style="63" customWidth="1"/>
    <col min="4" max="4" width="22.7109375" style="63" customWidth="1"/>
    <col min="5" max="5" width="1.8515625" style="63" customWidth="1"/>
    <col min="6" max="16384" width="0" style="63" hidden="1" customWidth="1"/>
  </cols>
  <sheetData>
    <row r="1" spans="1:4" ht="15.75" thickBot="1">
      <c r="A1" s="260" t="s">
        <v>154</v>
      </c>
      <c r="B1" s="261"/>
      <c r="C1" s="262"/>
      <c r="D1" s="263">
        <f>SUM(D2:D4)</f>
        <v>0</v>
      </c>
    </row>
    <row r="2" spans="1:4" ht="14.25">
      <c r="A2" s="264" t="s">
        <v>155</v>
      </c>
      <c r="B2" s="265"/>
      <c r="C2" s="266"/>
      <c r="D2" s="267">
        <f>('Orçamento Receitas e Despesas'!C2/30)</f>
        <v>0</v>
      </c>
    </row>
    <row r="3" spans="1:4" ht="14.25">
      <c r="A3" s="264" t="s">
        <v>156</v>
      </c>
      <c r="B3" s="268"/>
      <c r="C3" s="268"/>
      <c r="D3" s="269">
        <f>(('Orçamento Receitas e Despesas'!C4-'Orçamento Receitas e Despesas'!C42)*'Prazos Médios'!E32)/30</f>
        <v>0</v>
      </c>
    </row>
    <row r="4" spans="1:4" ht="15" thickBot="1">
      <c r="A4" s="264" t="s">
        <v>157</v>
      </c>
      <c r="B4" s="268"/>
      <c r="C4" s="268"/>
      <c r="D4" s="267">
        <f>('Orçamento Receitas e Despesas'!C6/30)*'Prazos Médios'!D45</f>
        <v>0</v>
      </c>
    </row>
    <row r="5" spans="1:5" ht="20.25" thickBot="1">
      <c r="A5" s="260" t="s">
        <v>158</v>
      </c>
      <c r="B5" s="261"/>
      <c r="C5" s="261"/>
      <c r="D5" s="263">
        <f>SUM(D6:D8)</f>
        <v>0</v>
      </c>
      <c r="E5" s="19"/>
    </row>
    <row r="6" spans="1:4" ht="14.25">
      <c r="A6" s="264" t="s">
        <v>159</v>
      </c>
      <c r="B6" s="268"/>
      <c r="C6" s="268"/>
      <c r="D6" s="267">
        <f>('Orçamento Receitas e Despesas'!C6/30)*'Prazos Médios'!E40</f>
        <v>0</v>
      </c>
    </row>
    <row r="7" spans="1:4" ht="14.25">
      <c r="A7" s="264" t="s">
        <v>160</v>
      </c>
      <c r="B7" s="268"/>
      <c r="C7" s="268"/>
      <c r="D7" s="267">
        <f>SUM('Orçamento Receitas e Despesas'!$C$7:$C$17)+'Orçamento Receitas e Despesas'!C20+'Orçamento Receitas e Despesas'!C21+'Orçamento Receitas e Despesas'!C13</f>
        <v>0</v>
      </c>
    </row>
    <row r="8" spans="1:4" ht="15" thickBot="1">
      <c r="A8" s="264" t="s">
        <v>161</v>
      </c>
      <c r="B8" s="268"/>
      <c r="C8" s="268"/>
      <c r="D8" s="270"/>
    </row>
    <row r="9" spans="1:4" ht="15.75" thickBot="1">
      <c r="A9" s="260" t="s">
        <v>162</v>
      </c>
      <c r="B9" s="261"/>
      <c r="C9" s="261"/>
      <c r="D9" s="263">
        <f>(D1-D5)</f>
        <v>0</v>
      </c>
    </row>
    <row r="10" spans="1:4" ht="14.25">
      <c r="A10" s="148" t="s">
        <v>163</v>
      </c>
      <c r="B10" s="168"/>
      <c r="C10" s="168"/>
      <c r="D10" s="168"/>
    </row>
    <row r="11" spans="1:4" ht="14.25">
      <c r="A11" s="131" t="s">
        <v>164</v>
      </c>
      <c r="B11" s="168"/>
      <c r="C11" s="168"/>
      <c r="D11" s="168"/>
    </row>
    <row r="12" spans="1:4" ht="15" thickBot="1">
      <c r="A12" s="168"/>
      <c r="B12" s="168"/>
      <c r="C12" s="168"/>
      <c r="D12" s="168"/>
    </row>
    <row r="13" spans="1:4" ht="18.75" thickBot="1">
      <c r="A13" s="271" t="s">
        <v>165</v>
      </c>
      <c r="B13" s="272"/>
      <c r="C13" s="272"/>
      <c r="D13" s="273"/>
    </row>
    <row r="14" spans="1:4" ht="14.25">
      <c r="A14" s="274" t="s">
        <v>166</v>
      </c>
      <c r="B14" s="275"/>
      <c r="C14" s="275"/>
      <c r="D14" s="276">
        <f>IF(D9&lt;0,'Investimento Fixo'!D47,D9+'Investimento Fixo'!D47)</f>
        <v>0</v>
      </c>
    </row>
    <row r="15" spans="1:4" ht="14.25">
      <c r="A15" s="264" t="s">
        <v>167</v>
      </c>
      <c r="B15" s="268"/>
      <c r="C15" s="268"/>
      <c r="D15" s="277" t="e">
        <f>(('Orçamento Receitas e Despesas'!C42)/(D14))</f>
        <v>#DIV/0!</v>
      </c>
    </row>
    <row r="16" spans="1:4" ht="14.25">
      <c r="A16" s="264" t="s">
        <v>168</v>
      </c>
      <c r="B16" s="268"/>
      <c r="C16" s="268"/>
      <c r="D16" s="278" t="e">
        <f>('Orçamento Receitas e Despesas'!$C$42/'Orçamento Receitas e Despesas'!$C$2)</f>
        <v>#DIV/0!</v>
      </c>
    </row>
    <row r="17" spans="1:4" ht="14.25">
      <c r="A17" s="264" t="s">
        <v>169</v>
      </c>
      <c r="B17" s="268"/>
      <c r="C17" s="268"/>
      <c r="D17" s="279" t="e">
        <f>((D14)/'Orçamento Receitas e Despesas'!C42)</f>
        <v>#DIV/0!</v>
      </c>
    </row>
    <row r="18" spans="1:4" ht="15" thickBot="1">
      <c r="A18" s="280" t="s">
        <v>170</v>
      </c>
      <c r="B18" s="281"/>
      <c r="C18" s="281"/>
      <c r="D18" s="282">
        <f>('Orçamento Receitas e Despesas'!C42+'Orçamento Receitas e Despesas'!C31)</f>
        <v>0</v>
      </c>
    </row>
    <row r="19" spans="1:4" ht="14.25">
      <c r="A19" s="148" t="s">
        <v>171</v>
      </c>
      <c r="B19" s="168"/>
      <c r="C19" s="168"/>
      <c r="D19" s="168"/>
    </row>
    <row r="20" spans="1:4" ht="14.25">
      <c r="A20" s="131"/>
      <c r="B20" s="168"/>
      <c r="C20" s="168"/>
      <c r="D20" s="168"/>
    </row>
    <row r="21" spans="1:4" ht="14.25">
      <c r="A21" s="131" t="s">
        <v>394</v>
      </c>
      <c r="B21" s="168"/>
      <c r="C21" s="168"/>
      <c r="D21" s="168"/>
    </row>
    <row r="22" spans="1:4" ht="14.25">
      <c r="A22" s="131" t="s">
        <v>395</v>
      </c>
      <c r="B22" s="168"/>
      <c r="C22" s="168"/>
      <c r="D22" s="168"/>
    </row>
    <row r="23" spans="1:4" ht="14.25">
      <c r="A23" s="131" t="s">
        <v>172</v>
      </c>
      <c r="B23" s="168"/>
      <c r="C23" s="168"/>
      <c r="D23" s="168"/>
    </row>
    <row r="24" spans="1:4" ht="14.25">
      <c r="A24" s="131" t="s">
        <v>396</v>
      </c>
      <c r="B24" s="168"/>
      <c r="C24" s="168"/>
      <c r="D24" s="168"/>
    </row>
    <row r="25" spans="1:4" ht="14.25">
      <c r="A25" s="131" t="s">
        <v>397</v>
      </c>
      <c r="B25" s="168"/>
      <c r="C25" s="168"/>
      <c r="D25" s="168"/>
    </row>
    <row r="26" spans="1:4" ht="14.25">
      <c r="A26" s="131" t="s">
        <v>173</v>
      </c>
      <c r="B26" s="168"/>
      <c r="C26" s="168"/>
      <c r="D26" s="168"/>
    </row>
    <row r="27" spans="1:4" ht="14.25">
      <c r="A27" s="131" t="s">
        <v>398</v>
      </c>
      <c r="B27" s="168"/>
      <c r="C27" s="168"/>
      <c r="D27" s="256" t="s">
        <v>273</v>
      </c>
    </row>
    <row r="28" spans="1:4" ht="12.75">
      <c r="A28" s="131" t="s">
        <v>248</v>
      </c>
      <c r="B28" s="283"/>
      <c r="C28" s="283"/>
      <c r="D28" s="283"/>
    </row>
    <row r="29" spans="1:4" ht="12.75">
      <c r="A29" s="283"/>
      <c r="B29" s="283"/>
      <c r="C29" s="283"/>
      <c r="D29" s="283"/>
    </row>
  </sheetData>
  <sheetProtection password="C02B" sheet="1" objects="1" scenarios="1"/>
  <hyperlinks>
    <hyperlink ref="D27" location="Início!c16" display="Início!c16"/>
  </hyperlinks>
  <printOptions horizontalCentered="1" verticalCentered="1"/>
  <pageMargins left="0.7874015748031497" right="0.7874015748031497" top="0.984251968503937" bottom="0.984251968503937" header="0.68" footer="0.5118110236220472"/>
  <pageSetup blackAndWhite="1" fitToHeight="1" fitToWidth="1" horizontalDpi="300" verticalDpi="300" orientation="portrait" scale="89" r:id="rId1"/>
  <headerFooter alignWithMargins="0">
    <oddFooter>&amp;L&amp;D &amp;T&amp;R&amp;F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2"/>
  <dimension ref="A1:M41"/>
  <sheetViews>
    <sheetView showGridLines="0" zoomScale="75" zoomScaleNormal="75" workbookViewId="0" topLeftCell="A1">
      <selection activeCell="G4" sqref="G4"/>
    </sheetView>
  </sheetViews>
  <sheetFormatPr defaultColWidth="9.140625" defaultRowHeight="12.75" zeroHeight="1"/>
  <cols>
    <col min="1" max="1" width="0.9921875" style="18" customWidth="1"/>
    <col min="2" max="2" width="30.00390625" style="18" customWidth="1"/>
    <col min="3" max="3" width="19.421875" style="18" customWidth="1"/>
    <col min="4" max="4" width="13.140625" style="18" customWidth="1"/>
    <col min="5" max="5" width="15.7109375" style="18" customWidth="1"/>
    <col min="6" max="6" width="12.140625" style="18" customWidth="1"/>
    <col min="7" max="7" width="11.57421875" style="18" customWidth="1"/>
    <col min="8" max="8" width="10.28125" style="18" customWidth="1"/>
    <col min="9" max="9" width="13.57421875" style="18" hidden="1" customWidth="1"/>
    <col min="10" max="16384" width="9.140625" style="18" hidden="1" customWidth="1"/>
  </cols>
  <sheetData>
    <row r="1" spans="1:8" ht="16.5">
      <c r="A1" s="380" t="s">
        <v>174</v>
      </c>
      <c r="B1" s="381"/>
      <c r="C1" s="380"/>
      <c r="D1" s="380"/>
      <c r="E1" s="380"/>
      <c r="F1" s="380"/>
      <c r="G1" s="380"/>
      <c r="H1" s="13"/>
    </row>
    <row r="2" spans="1:7" ht="14.25">
      <c r="A2" s="382"/>
      <c r="B2" s="383" t="s">
        <v>236</v>
      </c>
      <c r="C2" s="384"/>
      <c r="D2" s="385" t="s">
        <v>237</v>
      </c>
      <c r="E2" s="386" t="e">
        <f>(('Orçamento Receitas e Despesas'!$C$19/'Orçamento Receitas e Despesas'!$C$18)*'Orçamento Receitas e Despesas'!$C$2)</f>
        <v>#DIV/0!</v>
      </c>
      <c r="F2" s="155"/>
      <c r="G2" s="387"/>
    </row>
    <row r="3" spans="1:8" ht="16.5">
      <c r="A3" s="168"/>
      <c r="B3" s="388" t="s">
        <v>175</v>
      </c>
      <c r="C3" s="389" t="e">
        <f>'Orçamento Receitas e Despesas'!C19/'Orçamento Receitas e Despesas'!C18</f>
        <v>#DIV/0!</v>
      </c>
      <c r="D3" s="168" t="s">
        <v>176</v>
      </c>
      <c r="E3" s="168"/>
      <c r="F3" s="168"/>
      <c r="G3" s="168"/>
      <c r="H3" s="13"/>
    </row>
    <row r="4" spans="1:8" ht="16.5">
      <c r="A4" s="168"/>
      <c r="B4" s="168"/>
      <c r="C4" s="168"/>
      <c r="D4" s="168"/>
      <c r="E4" s="168"/>
      <c r="F4" s="168"/>
      <c r="G4" s="256" t="s">
        <v>273</v>
      </c>
      <c r="H4" s="13"/>
    </row>
    <row r="5" spans="1:8" ht="17.25" thickBot="1">
      <c r="A5" s="168"/>
      <c r="B5" s="168"/>
      <c r="C5" s="168"/>
      <c r="D5" s="168"/>
      <c r="E5" s="168"/>
      <c r="F5" s="168"/>
      <c r="G5" s="168"/>
      <c r="H5" s="13"/>
    </row>
    <row r="6" spans="1:8" ht="17.25" thickBot="1">
      <c r="A6" s="168"/>
      <c r="B6" s="390" t="s">
        <v>249</v>
      </c>
      <c r="C6" s="391"/>
      <c r="D6" s="302"/>
      <c r="E6" s="230"/>
      <c r="F6" s="466" t="s">
        <v>250</v>
      </c>
      <c r="G6" s="467"/>
      <c r="H6" s="13"/>
    </row>
    <row r="7" spans="1:8" ht="16.5">
      <c r="A7" s="168"/>
      <c r="B7" s="392" t="s">
        <v>177</v>
      </c>
      <c r="C7" s="393" t="s">
        <v>178</v>
      </c>
      <c r="D7" s="177" t="s">
        <v>179</v>
      </c>
      <c r="E7" s="394"/>
      <c r="F7" s="393" t="s">
        <v>178</v>
      </c>
      <c r="G7" s="177" t="s">
        <v>180</v>
      </c>
      <c r="H7" s="13"/>
    </row>
    <row r="8" spans="1:8" ht="17.25" thickBot="1">
      <c r="A8" s="168"/>
      <c r="B8" s="395"/>
      <c r="C8" s="396" t="s">
        <v>181</v>
      </c>
      <c r="D8" s="369" t="s">
        <v>182</v>
      </c>
      <c r="E8" s="394"/>
      <c r="F8" s="396" t="s">
        <v>183</v>
      </c>
      <c r="G8" s="369" t="s">
        <v>184</v>
      </c>
      <c r="H8" s="13"/>
    </row>
    <row r="9" spans="1:8" ht="16.5">
      <c r="A9" s="168"/>
      <c r="B9" s="397">
        <f>('Previsão de Vendas e Custos'!C23)</f>
        <v>0</v>
      </c>
      <c r="C9" s="398" t="e">
        <f>('Previsão de Vendas e Custos'!D23*C$3)</f>
        <v>#DIV/0!</v>
      </c>
      <c r="D9" s="399">
        <f>('Previsão de Vendas e Custos'!F23)</f>
        <v>0</v>
      </c>
      <c r="E9" s="168"/>
      <c r="F9" s="397">
        <f>('Previsão de Vendas e Custos'!D23)</f>
        <v>0</v>
      </c>
      <c r="G9" s="399" t="e">
        <f>IF(('Previsão de Vendas e Custos'!F23*$C$3)&lt;('Custo Proj'!C6)/(1-'Análise de Sensibilidade'!$C$7/100),('Custo Proj'!C6)/(1-'Análise de Sensibilidade'!$C$7/100),('Previsão de Vendas e Custos'!F23*$C$3))</f>
        <v>#DIV/0!</v>
      </c>
      <c r="H9" s="13"/>
    </row>
    <row r="10" spans="1:9" ht="19.5">
      <c r="A10" s="168"/>
      <c r="B10" s="400">
        <f>('Previsão de Vendas e Custos'!C24)</f>
        <v>0</v>
      </c>
      <c r="C10" s="401" t="e">
        <f>('Previsão de Vendas e Custos'!D24*C$3)</f>
        <v>#DIV/0!</v>
      </c>
      <c r="D10" s="225">
        <f>('Previsão de Vendas e Custos'!F24)</f>
        <v>0</v>
      </c>
      <c r="E10" s="168"/>
      <c r="F10" s="400">
        <f>('Previsão de Vendas e Custos'!D24)</f>
        <v>0</v>
      </c>
      <c r="G10" s="225" t="e">
        <f>IF(('Previsão de Vendas e Custos'!F24*$C$3)&lt;('Custo Proj'!C7)/(1-'Análise de Sensibilidade'!$C$7/100),('Custo Proj'!C7)/(1-'Análise de Sensibilidade'!$C$7/100),('Previsão de Vendas e Custos'!F24*$C$3))</f>
        <v>#DIV/0!</v>
      </c>
      <c r="H10" s="13"/>
      <c r="I10" s="19"/>
    </row>
    <row r="11" spans="1:8" ht="16.5">
      <c r="A11" s="168"/>
      <c r="B11" s="400">
        <f>('Previsão de Vendas e Custos'!C25)</f>
        <v>0</v>
      </c>
      <c r="C11" s="401" t="e">
        <f>('Previsão de Vendas e Custos'!D25*C$3)</f>
        <v>#DIV/0!</v>
      </c>
      <c r="D11" s="225">
        <f>('Previsão de Vendas e Custos'!F25)</f>
        <v>0</v>
      </c>
      <c r="E11" s="168"/>
      <c r="F11" s="400">
        <f>('Previsão de Vendas e Custos'!D25)</f>
        <v>0</v>
      </c>
      <c r="G11" s="225" t="e">
        <f>IF(('Previsão de Vendas e Custos'!F25*$C$3)&lt;('Custo Proj'!C8)/(1-'Análise de Sensibilidade'!$C$7/100),('Custo Proj'!C8)/(1-'Análise de Sensibilidade'!$C$7/100),('Previsão de Vendas e Custos'!F25*$C$3))</f>
        <v>#DIV/0!</v>
      </c>
      <c r="H11" s="13"/>
    </row>
    <row r="12" spans="1:8" ht="16.5">
      <c r="A12" s="168"/>
      <c r="B12" s="400">
        <f>('Previsão de Vendas e Custos'!C26)</f>
        <v>0</v>
      </c>
      <c r="C12" s="401" t="e">
        <f>('Previsão de Vendas e Custos'!D26*C$3)</f>
        <v>#DIV/0!</v>
      </c>
      <c r="D12" s="225">
        <f>('Previsão de Vendas e Custos'!F26)</f>
        <v>0</v>
      </c>
      <c r="E12" s="168"/>
      <c r="F12" s="400">
        <f>('Previsão de Vendas e Custos'!D26)</f>
        <v>0</v>
      </c>
      <c r="G12" s="225" t="e">
        <f>IF(('Previsão de Vendas e Custos'!F26*$C$3)&lt;('Custo Proj'!C9)/(1-'Análise de Sensibilidade'!$C$7/100),('Custo Proj'!C9)/(1-'Análise de Sensibilidade'!$C$7/100),('Previsão de Vendas e Custos'!F26*$C$3))</f>
        <v>#DIV/0!</v>
      </c>
      <c r="H12" s="13"/>
    </row>
    <row r="13" spans="1:8" ht="16.5">
      <c r="A13" s="168"/>
      <c r="B13" s="400">
        <f>('Previsão de Vendas e Custos'!C27)</f>
        <v>0</v>
      </c>
      <c r="C13" s="401" t="e">
        <f>('Previsão de Vendas e Custos'!D27*C$3)</f>
        <v>#DIV/0!</v>
      </c>
      <c r="D13" s="225">
        <f>('Previsão de Vendas e Custos'!F27)</f>
        <v>0</v>
      </c>
      <c r="E13" s="168"/>
      <c r="F13" s="400">
        <f>('Previsão de Vendas e Custos'!D27)</f>
        <v>0</v>
      </c>
      <c r="G13" s="225" t="e">
        <f>IF(('Previsão de Vendas e Custos'!F27*$C$3)&lt;('Custo Proj'!C10)/(1-'Análise de Sensibilidade'!$C$7/100),('Custo Proj'!C10)/(1-'Análise de Sensibilidade'!$C$7/100),('Previsão de Vendas e Custos'!F27*$C$3))</f>
        <v>#DIV/0!</v>
      </c>
      <c r="H13" s="13"/>
    </row>
    <row r="14" spans="1:8" ht="16.5">
      <c r="A14" s="168"/>
      <c r="B14" s="400">
        <f>('Previsão de Vendas e Custos'!C28)</f>
        <v>0</v>
      </c>
      <c r="C14" s="401" t="e">
        <f>('Previsão de Vendas e Custos'!D28*C$3)</f>
        <v>#DIV/0!</v>
      </c>
      <c r="D14" s="225">
        <f>('Previsão de Vendas e Custos'!F28)</f>
        <v>0</v>
      </c>
      <c r="E14" s="168"/>
      <c r="F14" s="400">
        <f>('Previsão de Vendas e Custos'!D28)</f>
        <v>0</v>
      </c>
      <c r="G14" s="225" t="e">
        <f>IF(('Previsão de Vendas e Custos'!F28*$C$3)&lt;('Custo Proj'!C11)/(1-'Análise de Sensibilidade'!$C$7/100),('Custo Proj'!C11)/(1-'Análise de Sensibilidade'!$C$7/100),('Previsão de Vendas e Custos'!F28*$C$3))</f>
        <v>#DIV/0!</v>
      </c>
      <c r="H14" s="13"/>
    </row>
    <row r="15" spans="1:8" ht="16.5">
      <c r="A15" s="168"/>
      <c r="B15" s="400">
        <f>('Previsão de Vendas e Custos'!C29)</f>
        <v>0</v>
      </c>
      <c r="C15" s="401" t="e">
        <f>('Previsão de Vendas e Custos'!D29*C$3)</f>
        <v>#DIV/0!</v>
      </c>
      <c r="D15" s="225">
        <f>('Previsão de Vendas e Custos'!F29)</f>
        <v>0</v>
      </c>
      <c r="E15" s="168"/>
      <c r="F15" s="400">
        <f>('Previsão de Vendas e Custos'!D29)</f>
        <v>0</v>
      </c>
      <c r="G15" s="225" t="e">
        <f>IF(('Previsão de Vendas e Custos'!F29*$C$3)&lt;('Custo Proj'!C12)/(1-'Análise de Sensibilidade'!$C$7/100),('Custo Proj'!C12)/(1-'Análise de Sensibilidade'!$C$7/100),('Previsão de Vendas e Custos'!F29*$C$3))</f>
        <v>#DIV/0!</v>
      </c>
      <c r="H15" s="13"/>
    </row>
    <row r="16" spans="1:8" ht="16.5">
      <c r="A16" s="168"/>
      <c r="B16" s="400">
        <f>('Previsão de Vendas e Custos'!C30)</f>
        <v>0</v>
      </c>
      <c r="C16" s="401" t="e">
        <f>('Previsão de Vendas e Custos'!D30*C$3)</f>
        <v>#DIV/0!</v>
      </c>
      <c r="D16" s="225">
        <f>('Previsão de Vendas e Custos'!F30)</f>
        <v>0</v>
      </c>
      <c r="E16" s="168"/>
      <c r="F16" s="400">
        <f>('Previsão de Vendas e Custos'!D30)</f>
        <v>0</v>
      </c>
      <c r="G16" s="225" t="e">
        <f>IF(('Previsão de Vendas e Custos'!F30*$C$3)&lt;('Custo Proj'!C13)/(1-'Análise de Sensibilidade'!$C$7/100),('Custo Proj'!C13)/(1-'Análise de Sensibilidade'!$C$7/100),('Previsão de Vendas e Custos'!F30*$C$3))</f>
        <v>#DIV/0!</v>
      </c>
      <c r="H16" s="13"/>
    </row>
    <row r="17" spans="1:8" ht="16.5">
      <c r="A17" s="168"/>
      <c r="B17" s="400">
        <f>('Previsão de Vendas e Custos'!C31)</f>
        <v>0</v>
      </c>
      <c r="C17" s="401" t="e">
        <f>('Previsão de Vendas e Custos'!D31*C$3)</f>
        <v>#DIV/0!</v>
      </c>
      <c r="D17" s="225">
        <f>('Previsão de Vendas e Custos'!F31)</f>
        <v>0</v>
      </c>
      <c r="E17" s="168"/>
      <c r="F17" s="400">
        <f>('Previsão de Vendas e Custos'!D31)</f>
        <v>0</v>
      </c>
      <c r="G17" s="225" t="e">
        <f>IF(('Previsão de Vendas e Custos'!F31*$C$3)&lt;('Custo Proj'!C14)/(1-'Análise de Sensibilidade'!$C$7/100),('Custo Proj'!C14)/(1-'Análise de Sensibilidade'!$C$7/100),('Previsão de Vendas e Custos'!F31*$C$3))</f>
        <v>#DIV/0!</v>
      </c>
      <c r="H17" s="13"/>
    </row>
    <row r="18" spans="1:8" ht="16.5">
      <c r="A18" s="168"/>
      <c r="B18" s="400">
        <f>('Previsão de Vendas e Custos'!C32)</f>
        <v>0</v>
      </c>
      <c r="C18" s="401" t="e">
        <f>('Previsão de Vendas e Custos'!D32*C$3)</f>
        <v>#DIV/0!</v>
      </c>
      <c r="D18" s="225">
        <f>('Previsão de Vendas e Custos'!F32)</f>
        <v>0</v>
      </c>
      <c r="E18" s="168"/>
      <c r="F18" s="400">
        <f>('Previsão de Vendas e Custos'!D32)</f>
        <v>0</v>
      </c>
      <c r="G18" s="225" t="e">
        <f>IF(('Previsão de Vendas e Custos'!F32*$C$3)&lt;('Custo Proj'!C15)/(1-'Análise de Sensibilidade'!$C$7/100),('Custo Proj'!C15)/(1-'Análise de Sensibilidade'!$C$7/100),('Previsão de Vendas e Custos'!F32*$C$3))</f>
        <v>#DIV/0!</v>
      </c>
      <c r="H18" s="13"/>
    </row>
    <row r="19" spans="1:8" ht="16.5">
      <c r="A19" s="168"/>
      <c r="B19" s="400">
        <f>('Previsão de Vendas e Custos'!C33)</f>
        <v>0</v>
      </c>
      <c r="C19" s="401" t="e">
        <f>('Previsão de Vendas e Custos'!D33*C$3)</f>
        <v>#DIV/0!</v>
      </c>
      <c r="D19" s="225">
        <f>('Previsão de Vendas e Custos'!F33)</f>
        <v>0</v>
      </c>
      <c r="E19" s="168"/>
      <c r="F19" s="400">
        <f>('Previsão de Vendas e Custos'!D33)</f>
        <v>0</v>
      </c>
      <c r="G19" s="225" t="e">
        <f>IF(('Previsão de Vendas e Custos'!F33*$C$3)&lt;('Custo Proj'!C16)/(1-'Análise de Sensibilidade'!$C$7/100),('Custo Proj'!C16)/(1-'Análise de Sensibilidade'!$C$7/100),('Previsão de Vendas e Custos'!F33*$C$3))</f>
        <v>#DIV/0!</v>
      </c>
      <c r="H19" s="13"/>
    </row>
    <row r="20" spans="1:8" ht="16.5">
      <c r="A20" s="128"/>
      <c r="B20" s="400">
        <f>('Previsão de Vendas e Custos'!C34)</f>
        <v>0</v>
      </c>
      <c r="C20" s="401" t="e">
        <f>('Previsão de Vendas e Custos'!D34*C$3)</f>
        <v>#DIV/0!</v>
      </c>
      <c r="D20" s="225">
        <f>('Previsão de Vendas e Custos'!F34)</f>
        <v>0</v>
      </c>
      <c r="E20" s="168"/>
      <c r="F20" s="400">
        <f>('Previsão de Vendas e Custos'!D34)</f>
        <v>0</v>
      </c>
      <c r="G20" s="225" t="e">
        <f>IF(('Previsão de Vendas e Custos'!F34*$C$3)&lt;('Custo Proj'!C17)/(1-'Análise de Sensibilidade'!$C$7/100),('Custo Proj'!C17)/(1-'Análise de Sensibilidade'!$C$7/100),('Previsão de Vendas e Custos'!F34*$C$3))</f>
        <v>#DIV/0!</v>
      </c>
      <c r="H20" s="13"/>
    </row>
    <row r="21" spans="1:8" ht="16.5">
      <c r="A21" s="128"/>
      <c r="B21" s="400">
        <f>('Previsão de Vendas e Custos'!C35)</f>
        <v>0</v>
      </c>
      <c r="C21" s="401" t="e">
        <f>('Previsão de Vendas e Custos'!D35*C$3)</f>
        <v>#DIV/0!</v>
      </c>
      <c r="D21" s="225">
        <f>('Previsão de Vendas e Custos'!F35)</f>
        <v>0</v>
      </c>
      <c r="E21" s="168"/>
      <c r="F21" s="400">
        <f>('Previsão de Vendas e Custos'!D35)</f>
        <v>0</v>
      </c>
      <c r="G21" s="225" t="e">
        <f>IF(('Previsão de Vendas e Custos'!F35*$C$3)&lt;('Custo Proj'!C18)/(1-'Análise de Sensibilidade'!$C$7/100),('Custo Proj'!C18)/(1-'Análise de Sensibilidade'!$C$7/100),('Previsão de Vendas e Custos'!F35*$C$3))</f>
        <v>#DIV/0!</v>
      </c>
      <c r="H21" s="13"/>
    </row>
    <row r="22" spans="1:8" ht="16.5">
      <c r="A22" s="128"/>
      <c r="B22" s="400">
        <f>('Previsão de Vendas e Custos'!C36)</f>
        <v>0</v>
      </c>
      <c r="C22" s="401" t="e">
        <f>('Previsão de Vendas e Custos'!D36*C$3)</f>
        <v>#DIV/0!</v>
      </c>
      <c r="D22" s="225">
        <f>('Previsão de Vendas e Custos'!F36)</f>
        <v>0</v>
      </c>
      <c r="E22" s="168"/>
      <c r="F22" s="400">
        <f>('Previsão de Vendas e Custos'!D36)</f>
        <v>0</v>
      </c>
      <c r="G22" s="225" t="e">
        <f>IF(('Previsão de Vendas e Custos'!F36*$C$3)&lt;('Custo Proj'!C19)/(1-'Análise de Sensibilidade'!$C$7/100),('Custo Proj'!C19)/(1-'Análise de Sensibilidade'!$C$7/100),('Previsão de Vendas e Custos'!F36*$C$3))</f>
        <v>#DIV/0!</v>
      </c>
      <c r="H22" s="13"/>
    </row>
    <row r="23" spans="1:8" ht="16.5">
      <c r="A23" s="128"/>
      <c r="B23" s="400">
        <f>('Previsão de Vendas e Custos'!C37)</f>
        <v>0</v>
      </c>
      <c r="C23" s="401" t="e">
        <f>('Previsão de Vendas e Custos'!D37*C$3)</f>
        <v>#DIV/0!</v>
      </c>
      <c r="D23" s="225">
        <f>('Previsão de Vendas e Custos'!F37)</f>
        <v>0</v>
      </c>
      <c r="E23" s="168"/>
      <c r="F23" s="400">
        <f>('Previsão de Vendas e Custos'!D37)</f>
        <v>0</v>
      </c>
      <c r="G23" s="225" t="e">
        <f>IF(('Previsão de Vendas e Custos'!F37*$C$3)&lt;('Custo Proj'!C20)/(1-'Análise de Sensibilidade'!$C$7/100),('Custo Proj'!C20)/(1-'Análise de Sensibilidade'!$C$7/100),('Previsão de Vendas e Custos'!F37*$C$3))</f>
        <v>#DIV/0!</v>
      </c>
      <c r="H23" s="11"/>
    </row>
    <row r="24" spans="1:8" ht="16.5">
      <c r="A24" s="168"/>
      <c r="B24" s="400">
        <f>('Previsão de Vendas e Custos'!C38)</f>
        <v>0</v>
      </c>
      <c r="C24" s="401" t="e">
        <f>('Previsão de Vendas e Custos'!D38*C$3)</f>
        <v>#DIV/0!</v>
      </c>
      <c r="D24" s="225">
        <f>('Previsão de Vendas e Custos'!F38)</f>
        <v>0</v>
      </c>
      <c r="E24" s="168"/>
      <c r="F24" s="400">
        <f>('Previsão de Vendas e Custos'!D38)</f>
        <v>0</v>
      </c>
      <c r="G24" s="225" t="e">
        <f>IF(('Previsão de Vendas e Custos'!F38*$C$3)&lt;('Custo Proj'!C21)/(1-'Análise de Sensibilidade'!$C$7/100),('Custo Proj'!C21)/(1-'Análise de Sensibilidade'!$C$7/100),('Previsão de Vendas e Custos'!F38*$C$3))</f>
        <v>#DIV/0!</v>
      </c>
      <c r="H24" s="13"/>
    </row>
    <row r="25" spans="1:8" ht="16.5">
      <c r="A25" s="168"/>
      <c r="B25" s="400">
        <f>('Previsão de Vendas e Custos'!C39)</f>
        <v>0</v>
      </c>
      <c r="C25" s="401" t="e">
        <f>('Previsão de Vendas e Custos'!D39*C$3)</f>
        <v>#DIV/0!</v>
      </c>
      <c r="D25" s="225">
        <f>('Previsão de Vendas e Custos'!F39)</f>
        <v>0</v>
      </c>
      <c r="E25" s="168"/>
      <c r="F25" s="400">
        <f>('Previsão de Vendas e Custos'!D39)</f>
        <v>0</v>
      </c>
      <c r="G25" s="225" t="e">
        <f>IF(('Previsão de Vendas e Custos'!F39*$C$3)&lt;('Custo Proj'!C22)/(1-'Análise de Sensibilidade'!$C$7/100),('Custo Proj'!C22)/(1-'Análise de Sensibilidade'!$C$7/100),('Previsão de Vendas e Custos'!F39*$C$3))</f>
        <v>#DIV/0!</v>
      </c>
      <c r="H25" s="13"/>
    </row>
    <row r="26" spans="1:8" ht="16.5">
      <c r="A26" s="168"/>
      <c r="B26" s="400">
        <f>('Previsão de Vendas e Custos'!C40)</f>
        <v>0</v>
      </c>
      <c r="C26" s="401" t="e">
        <f>('Previsão de Vendas e Custos'!D40*C$3)</f>
        <v>#DIV/0!</v>
      </c>
      <c r="D26" s="225">
        <f>('Previsão de Vendas e Custos'!F40)</f>
        <v>0</v>
      </c>
      <c r="E26" s="168"/>
      <c r="F26" s="400">
        <f>('Previsão de Vendas e Custos'!D40)</f>
        <v>0</v>
      </c>
      <c r="G26" s="225" t="e">
        <f>IF(('Previsão de Vendas e Custos'!F40*$C$3)&lt;('Custo Proj'!C23)/(1-'Análise de Sensibilidade'!$C$7/100),('Custo Proj'!C23)/(1-'Análise de Sensibilidade'!$C$7/100),('Previsão de Vendas e Custos'!F40*$C$3))</f>
        <v>#DIV/0!</v>
      </c>
      <c r="H26" s="13"/>
    </row>
    <row r="27" spans="1:8" ht="16.5">
      <c r="A27" s="168"/>
      <c r="B27" s="400">
        <f>('Previsão de Vendas e Custos'!C41)</f>
        <v>0</v>
      </c>
      <c r="C27" s="401" t="e">
        <f>('Previsão de Vendas e Custos'!D41*C$3)</f>
        <v>#DIV/0!</v>
      </c>
      <c r="D27" s="225">
        <f>('Previsão de Vendas e Custos'!F41)</f>
        <v>0</v>
      </c>
      <c r="E27" s="168"/>
      <c r="F27" s="400">
        <f>('Previsão de Vendas e Custos'!D41)</f>
        <v>0</v>
      </c>
      <c r="G27" s="225" t="e">
        <f>IF(('Previsão de Vendas e Custos'!F41*$C$3)&lt;('Custo Proj'!C24)/(1-'Análise de Sensibilidade'!$C$7/100),('Custo Proj'!C24)/(1-'Análise de Sensibilidade'!$C$7/100),('Previsão de Vendas e Custos'!F41*$C$3))</f>
        <v>#DIV/0!</v>
      </c>
      <c r="H27" s="13"/>
    </row>
    <row r="28" spans="1:8" ht="17.25" thickBot="1">
      <c r="A28" s="168"/>
      <c r="B28" s="402">
        <f>('Previsão de Vendas e Custos'!C42)</f>
        <v>0</v>
      </c>
      <c r="C28" s="403" t="e">
        <f>('Previsão de Vendas e Custos'!D42*C$3)</f>
        <v>#DIV/0!</v>
      </c>
      <c r="D28" s="404">
        <f>('Previsão de Vendas e Custos'!F42)</f>
        <v>0</v>
      </c>
      <c r="E28" s="168"/>
      <c r="F28" s="402">
        <f>('Previsão de Vendas e Custos'!D42)</f>
        <v>0</v>
      </c>
      <c r="G28" s="404" t="e">
        <f>IF(('Previsão de Vendas e Custos'!F42*$C$3)&lt;('Custo Proj'!C25)/(1-'Análise de Sensibilidade'!$C$7/100),('Custo Proj'!C25)/(1-'Análise de Sensibilidade'!$C$7/100),('Previsão de Vendas e Custos'!F42*$C$3))</f>
        <v>#DIV/0!</v>
      </c>
      <c r="H28" s="13"/>
    </row>
    <row r="29" spans="1:8" ht="16.5">
      <c r="A29" s="168"/>
      <c r="B29" s="405"/>
      <c r="C29" s="405"/>
      <c r="D29" s="168"/>
      <c r="E29" s="168"/>
      <c r="F29" s="405"/>
      <c r="G29" s="168"/>
      <c r="H29" s="13"/>
    </row>
    <row r="30" spans="1:8" ht="16.5">
      <c r="A30" s="128"/>
      <c r="B30" s="148" t="s">
        <v>185</v>
      </c>
      <c r="C30" s="168"/>
      <c r="D30" s="168"/>
      <c r="E30" s="168"/>
      <c r="F30" s="168"/>
      <c r="G30" s="168"/>
      <c r="H30" s="11"/>
    </row>
    <row r="31" spans="1:8" ht="16.5">
      <c r="A31" s="128"/>
      <c r="B31" s="170" t="s">
        <v>186</v>
      </c>
      <c r="C31" s="128"/>
      <c r="D31" s="128"/>
      <c r="E31" s="128"/>
      <c r="F31" s="128"/>
      <c r="G31" s="128"/>
      <c r="H31" s="11"/>
    </row>
    <row r="32" spans="1:7" ht="14.25" hidden="1">
      <c r="A32" s="168"/>
      <c r="B32" s="155"/>
      <c r="C32" s="155"/>
      <c r="D32" s="155"/>
      <c r="E32" s="155"/>
      <c r="F32" s="155"/>
      <c r="G32" s="155"/>
    </row>
    <row r="33" spans="1:7" ht="14.25" hidden="1">
      <c r="A33" s="168"/>
      <c r="B33" s="155"/>
      <c r="C33" s="155"/>
      <c r="D33" s="155"/>
      <c r="E33" s="155"/>
      <c r="F33" s="155"/>
      <c r="G33" s="155"/>
    </row>
    <row r="34" spans="1:7" ht="14.25" hidden="1">
      <c r="A34" s="168"/>
      <c r="B34" s="155"/>
      <c r="C34" s="155"/>
      <c r="D34" s="155"/>
      <c r="E34" s="155"/>
      <c r="F34" s="155"/>
      <c r="G34" s="155"/>
    </row>
    <row r="35" spans="1:7" ht="14.25" hidden="1">
      <c r="A35" s="168"/>
      <c r="B35" s="155"/>
      <c r="C35" s="155"/>
      <c r="D35" s="155"/>
      <c r="E35" s="155"/>
      <c r="F35" s="155"/>
      <c r="G35" s="155"/>
    </row>
    <row r="36" spans="1:9" ht="16.5" hidden="1">
      <c r="A36" s="128"/>
      <c r="B36" s="128"/>
      <c r="C36" s="128"/>
      <c r="D36" s="128"/>
      <c r="E36" s="128"/>
      <c r="F36" s="128"/>
      <c r="G36" s="128"/>
      <c r="H36" s="11"/>
      <c r="I36" s="11"/>
    </row>
    <row r="37" spans="1:9" ht="16.5" hidden="1">
      <c r="A37" s="128"/>
      <c r="B37" s="128"/>
      <c r="C37" s="128"/>
      <c r="D37" s="128"/>
      <c r="E37" s="128"/>
      <c r="F37" s="128"/>
      <c r="G37" s="128"/>
      <c r="H37" s="11"/>
      <c r="I37" s="11"/>
    </row>
    <row r="38" spans="1:13" ht="16.5" hidden="1">
      <c r="A38" s="128"/>
      <c r="B38" s="128"/>
      <c r="C38" s="128"/>
      <c r="D38" s="128"/>
      <c r="E38" s="128"/>
      <c r="F38" s="128"/>
      <c r="G38" s="128"/>
      <c r="H38" s="11"/>
      <c r="I38" s="11"/>
      <c r="J38" s="11"/>
      <c r="K38" s="11"/>
      <c r="L38" s="11"/>
      <c r="M38" s="11"/>
    </row>
    <row r="39" spans="1:8" ht="16.5" hidden="1">
      <c r="A39" s="128"/>
      <c r="B39" s="128"/>
      <c r="C39" s="128"/>
      <c r="D39" s="128"/>
      <c r="E39" s="128"/>
      <c r="F39" s="128"/>
      <c r="G39" s="128"/>
      <c r="H39" s="11"/>
    </row>
    <row r="40" spans="1:8" ht="16.5" hidden="1">
      <c r="A40" s="128"/>
      <c r="B40" s="128"/>
      <c r="C40" s="128"/>
      <c r="D40" s="128"/>
      <c r="E40" s="128"/>
      <c r="F40" s="128"/>
      <c r="G40" s="128"/>
      <c r="H40" s="11"/>
    </row>
    <row r="41" spans="1:7" ht="12.75">
      <c r="A41" s="155"/>
      <c r="B41" s="155"/>
      <c r="C41" s="155"/>
      <c r="D41" s="155"/>
      <c r="E41" s="155"/>
      <c r="F41" s="155"/>
      <c r="G41" s="155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sheetProtection password="C02B" sheet="1" objects="1" scenarios="1"/>
  <mergeCells count="1">
    <mergeCell ref="F6:G6"/>
  </mergeCells>
  <hyperlinks>
    <hyperlink ref="G4" location="Início!c17" display="Início!c17"/>
  </hyperlinks>
  <printOptions horizontalCentered="1" verticalCentered="1"/>
  <pageMargins left="0.7874015748031497" right="0.7874015748031497" top="1.25" bottom="0.984251968503937" header="0.67" footer="0.5118110236220472"/>
  <pageSetup blackAndWhite="1" horizontalDpi="300" verticalDpi="300" orientation="portrait" scale="87" r:id="rId3"/>
  <headerFooter alignWithMargins="0">
    <oddHeader>&amp;C
&amp;"Verdana,Negrito"&amp;20&amp;A</oddHeader>
    <oddFooter>&amp;L&amp;D &amp;T&amp;R&amp;F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workbookViewId="0" topLeftCell="A1">
      <selection activeCell="K31" sqref="K31"/>
    </sheetView>
  </sheetViews>
  <sheetFormatPr defaultColWidth="9.140625" defaultRowHeight="12.75" zeroHeight="1"/>
  <cols>
    <col min="1" max="1" width="1.8515625" style="101" customWidth="1"/>
    <col min="2" max="11" width="9.140625" style="101" customWidth="1"/>
    <col min="12" max="16384" width="0" style="101" hidden="1" customWidth="1"/>
  </cols>
  <sheetData>
    <row r="1" spans="1:12" ht="11.25">
      <c r="A1" s="438" t="s">
        <v>253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102"/>
    </row>
    <row r="2" ht="11.25" hidden="1"/>
    <row r="3" ht="11.25">
      <c r="B3" s="100" t="s">
        <v>254</v>
      </c>
    </row>
    <row r="4" ht="11.25"/>
    <row r="5" ht="11.25">
      <c r="B5" s="101" t="s">
        <v>255</v>
      </c>
    </row>
    <row r="6" ht="11.25"/>
    <row r="7" ht="11.25">
      <c r="B7" s="100" t="s">
        <v>256</v>
      </c>
    </row>
    <row r="8" ht="11.25"/>
    <row r="9" ht="11.25">
      <c r="B9" s="101" t="s">
        <v>258</v>
      </c>
    </row>
    <row r="10" ht="11.25">
      <c r="B10" s="101" t="s">
        <v>259</v>
      </c>
    </row>
    <row r="11" ht="11.25">
      <c r="B11" s="101" t="s">
        <v>260</v>
      </c>
    </row>
    <row r="12" ht="11.25">
      <c r="B12" s="101" t="s">
        <v>261</v>
      </c>
    </row>
    <row r="13" ht="11.25">
      <c r="B13" s="101" t="s">
        <v>262</v>
      </c>
    </row>
    <row r="14" ht="11.25">
      <c r="B14" s="101" t="s">
        <v>263</v>
      </c>
    </row>
    <row r="15" ht="11.25">
      <c r="B15" s="101" t="s">
        <v>264</v>
      </c>
    </row>
    <row r="16" ht="11.25"/>
    <row r="17" ht="11.25">
      <c r="B17" s="100" t="s">
        <v>257</v>
      </c>
    </row>
    <row r="18" ht="11.25"/>
    <row r="19" ht="11.25">
      <c r="B19" s="101" t="s">
        <v>265</v>
      </c>
    </row>
    <row r="20" ht="11.25">
      <c r="B20" s="101" t="s">
        <v>266</v>
      </c>
    </row>
    <row r="21" ht="11.25">
      <c r="B21" s="101" t="s">
        <v>267</v>
      </c>
    </row>
    <row r="22" ht="11.25">
      <c r="B22" s="101" t="s">
        <v>268</v>
      </c>
    </row>
    <row r="23" ht="11.25">
      <c r="B23" s="101" t="s">
        <v>269</v>
      </c>
    </row>
    <row r="24" ht="11.25">
      <c r="B24" s="101" t="s">
        <v>270</v>
      </c>
    </row>
    <row r="25" ht="11.25"/>
    <row r="26" ht="11.25" hidden="1"/>
    <row r="27" ht="11.25" hidden="1"/>
    <row r="28" ht="11.25" hidden="1"/>
    <row r="29" ht="11.25" hidden="1"/>
    <row r="30" ht="11.25" hidden="1"/>
    <row r="31" ht="12.75">
      <c r="K31" s="127" t="s">
        <v>273</v>
      </c>
    </row>
  </sheetData>
  <sheetProtection password="C02B" sheet="1" objects="1" scenarios="1"/>
  <mergeCells count="1">
    <mergeCell ref="A1:K1"/>
  </mergeCells>
  <hyperlinks>
    <hyperlink ref="K31" location="Início!a12" display="Início!a12"/>
  </hyperlinks>
  <printOptions/>
  <pageMargins left="0.75" right="0.75" top="1" bottom="1" header="0.492125985" footer="0.492125985"/>
  <pageSetup fitToHeight="1" fitToWidth="1"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4"/>
  <dimension ref="A1:J15"/>
  <sheetViews>
    <sheetView showGridLines="0"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13.57421875" style="1" bestFit="1" customWidth="1"/>
    <col min="2" max="5" width="10.28125" style="1" customWidth="1"/>
    <col min="6" max="7" width="15.8515625" style="1" bestFit="1" customWidth="1"/>
    <col min="8" max="8" width="12.00390625" style="1" customWidth="1"/>
    <col min="9" max="9" width="10.28125" style="1" customWidth="1"/>
    <col min="10" max="16384" width="9.140625" style="1" hidden="1" customWidth="1"/>
  </cols>
  <sheetData>
    <row r="1" spans="1:8" ht="12.75">
      <c r="A1" s="256" t="s">
        <v>273</v>
      </c>
      <c r="B1" s="64"/>
      <c r="C1" s="64"/>
      <c r="D1" s="64"/>
      <c r="E1" s="64"/>
      <c r="F1" s="64"/>
      <c r="G1" s="64"/>
      <c r="H1" s="64"/>
    </row>
    <row r="2" spans="1:10" ht="12">
      <c r="A2" s="89"/>
      <c r="B2" s="89">
        <f aca="true" t="shared" si="0" ref="B2:H2">B3</f>
        <v>0</v>
      </c>
      <c r="C2" s="89">
        <f t="shared" si="0"/>
        <v>0</v>
      </c>
      <c r="D2" s="89">
        <f t="shared" si="0"/>
        <v>0</v>
      </c>
      <c r="E2" s="89">
        <f t="shared" si="0"/>
        <v>0</v>
      </c>
      <c r="F2" s="89">
        <f t="shared" si="0"/>
        <v>0</v>
      </c>
      <c r="G2" s="89">
        <f t="shared" si="0"/>
        <v>0</v>
      </c>
      <c r="H2" s="89">
        <f t="shared" si="0"/>
        <v>0</v>
      </c>
      <c r="I2" s="89"/>
      <c r="J2" s="89"/>
    </row>
    <row r="3" spans="1:10" ht="12">
      <c r="A3" s="89" t="s">
        <v>125</v>
      </c>
      <c r="B3" s="89">
        <v>0</v>
      </c>
      <c r="C3" s="89">
        <f>0.5*'Orçamento Receitas e Despesas'!C2</f>
        <v>0</v>
      </c>
      <c r="D3" s="89">
        <f>'Orçamento Receitas e Despesas'!C2*0.8</f>
        <v>0</v>
      </c>
      <c r="E3" s="89">
        <f>'Orçamento Receitas e Despesas'!$C$2</f>
        <v>0</v>
      </c>
      <c r="F3" s="89">
        <f>'Orçamento Receitas e Despesas'!$C$2*1.5</f>
        <v>0</v>
      </c>
      <c r="G3" s="89">
        <f>'Orçamento Receitas e Despesas'!$C$2*1.8</f>
        <v>0</v>
      </c>
      <c r="H3" s="89">
        <f>'Orçamento Receitas e Despesas'!$C$2*2</f>
        <v>0</v>
      </c>
      <c r="I3" s="89"/>
      <c r="J3" s="89"/>
    </row>
    <row r="4" spans="1:10" ht="12">
      <c r="A4" s="89" t="s">
        <v>187</v>
      </c>
      <c r="B4" s="90">
        <f aca="true" t="shared" si="1" ref="B4:H4">B5+B7</f>
        <v>0</v>
      </c>
      <c r="C4" s="90">
        <f t="shared" si="1"/>
        <v>0</v>
      </c>
      <c r="D4" s="90">
        <f t="shared" si="1"/>
        <v>0</v>
      </c>
      <c r="E4" s="90">
        <f t="shared" si="1"/>
        <v>0</v>
      </c>
      <c r="F4" s="90">
        <f t="shared" si="1"/>
        <v>0</v>
      </c>
      <c r="G4" s="90">
        <f t="shared" si="1"/>
        <v>0</v>
      </c>
      <c r="H4" s="90">
        <f t="shared" si="1"/>
        <v>0</v>
      </c>
      <c r="I4" s="89"/>
      <c r="J4" s="89"/>
    </row>
    <row r="5" spans="1:10" ht="12">
      <c r="A5" s="89" t="s">
        <v>188</v>
      </c>
      <c r="B5" s="89">
        <f>'Orçamento Receitas e Despesas'!$C$19</f>
        <v>0</v>
      </c>
      <c r="C5" s="89">
        <f>'Orçamento Receitas e Despesas'!$C$19</f>
        <v>0</v>
      </c>
      <c r="D5" s="89">
        <f>'Orçamento Receitas e Despesas'!$C$19</f>
        <v>0</v>
      </c>
      <c r="E5" s="89">
        <f>'Orçamento Receitas e Despesas'!$C$19</f>
        <v>0</v>
      </c>
      <c r="F5" s="89">
        <f>'Orçamento Receitas e Despesas'!$C$19</f>
        <v>0</v>
      </c>
      <c r="G5" s="89">
        <f>'Orçamento Receitas e Despesas'!$C$19</f>
        <v>0</v>
      </c>
      <c r="H5" s="89">
        <f>'Orçamento Receitas e Despesas'!$C$19</f>
        <v>0</v>
      </c>
      <c r="I5" s="89"/>
      <c r="J5" s="89"/>
    </row>
    <row r="6" spans="1:10" ht="12">
      <c r="A6" s="89" t="s">
        <v>189</v>
      </c>
      <c r="B6" s="89" t="e">
        <f>C6</f>
        <v>#DIV/0!</v>
      </c>
      <c r="C6" s="89" t="e">
        <f aca="true" t="shared" si="2" ref="C6:H6">C5/(C3-C7)*C3</f>
        <v>#DIV/0!</v>
      </c>
      <c r="D6" s="89" t="e">
        <f t="shared" si="2"/>
        <v>#DIV/0!</v>
      </c>
      <c r="E6" s="89" t="e">
        <f t="shared" si="2"/>
        <v>#DIV/0!</v>
      </c>
      <c r="F6" s="89" t="e">
        <f t="shared" si="2"/>
        <v>#DIV/0!</v>
      </c>
      <c r="G6" s="89" t="e">
        <f t="shared" si="2"/>
        <v>#DIV/0!</v>
      </c>
      <c r="H6" s="89" t="e">
        <f t="shared" si="2"/>
        <v>#DIV/0!</v>
      </c>
      <c r="I6" s="89"/>
      <c r="J6" s="89"/>
    </row>
    <row r="7" spans="1:10" ht="12">
      <c r="A7" s="89" t="s">
        <v>190</v>
      </c>
      <c r="B7" s="89">
        <f>'Orçamento Receitas e Despesas'!$D$5*'Gráfico PE'!B3</f>
        <v>0</v>
      </c>
      <c r="C7" s="89">
        <f>'Orçamento Receitas e Despesas'!$D$5*'Gráfico PE'!C3/100</f>
        <v>0</v>
      </c>
      <c r="D7" s="89">
        <f>'Orçamento Receitas e Despesas'!$D$5*'Gráfico PE'!D3/100</f>
        <v>0</v>
      </c>
      <c r="E7" s="89">
        <f>'Orçamento Receitas e Despesas'!$D$5*'Gráfico PE'!E3/100</f>
        <v>0</v>
      </c>
      <c r="F7" s="89">
        <f>'Orçamento Receitas e Despesas'!$D$5*'Gráfico PE'!F3/100</f>
        <v>0</v>
      </c>
      <c r="G7" s="89">
        <f>'Orçamento Receitas e Despesas'!$D$5*'Gráfico PE'!G3/100</f>
        <v>0</v>
      </c>
      <c r="H7" s="89">
        <f>'Orçamento Receitas e Despesas'!$D$5*'Gráfico PE'!H3/100</f>
        <v>0</v>
      </c>
      <c r="I7" s="89"/>
      <c r="J7" s="89"/>
    </row>
    <row r="8" spans="1:10" ht="12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2">
      <c r="A9" s="89"/>
      <c r="B9" s="89"/>
      <c r="C9" s="89"/>
      <c r="D9" s="89"/>
      <c r="E9" s="89"/>
      <c r="F9" s="89"/>
      <c r="G9" s="89"/>
      <c r="H9" s="89"/>
      <c r="I9" s="89"/>
      <c r="J9" s="89"/>
    </row>
    <row r="10" spans="1:10" ht="12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2">
      <c r="A11" s="89"/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2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2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12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2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</sheetData>
  <sheetProtection password="C02B" sheet="1" objects="1" scenarios="1"/>
  <hyperlinks>
    <hyperlink ref="A1" location="Início!c18" display="Início!c18"/>
  </hyperlinks>
  <printOptions/>
  <pageMargins left="0.38" right="0.37" top="1" bottom="1" header="0.492125985" footer="0.492125985"/>
  <pageSetup horizontalDpi="300" verticalDpi="300" orientation="portrait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14"/>
  <dimension ref="A1:I44"/>
  <sheetViews>
    <sheetView showGridLines="0" zoomScale="75" zoomScaleNormal="75" workbookViewId="0" topLeftCell="A1">
      <selection activeCell="A3" sqref="A3"/>
    </sheetView>
  </sheetViews>
  <sheetFormatPr defaultColWidth="9.140625" defaultRowHeight="12.75" zeroHeight="1"/>
  <cols>
    <col min="1" max="1" width="24.8515625" style="155" customWidth="1"/>
    <col min="2" max="2" width="17.57421875" style="155" customWidth="1"/>
    <col min="3" max="3" width="13.140625" style="155" customWidth="1"/>
    <col min="4" max="4" width="18.00390625" style="155" customWidth="1"/>
    <col min="5" max="5" width="9.421875" style="155" customWidth="1"/>
    <col min="6" max="6" width="19.140625" style="155" customWidth="1"/>
    <col min="7" max="7" width="11.8515625" style="155" customWidth="1"/>
    <col min="8" max="8" width="21.00390625" style="155" customWidth="1"/>
    <col min="9" max="9" width="11.28125" style="155" customWidth="1"/>
    <col min="10" max="10" width="0.71875" style="155" customWidth="1"/>
    <col min="11" max="16384" width="0" style="155" hidden="1" customWidth="1"/>
  </cols>
  <sheetData>
    <row r="1" spans="1:9" ht="18.75" thickBot="1">
      <c r="A1" s="320"/>
      <c r="B1" s="321" t="s">
        <v>191</v>
      </c>
      <c r="C1" s="322"/>
      <c r="D1" s="321" t="s">
        <v>192</v>
      </c>
      <c r="E1" s="322"/>
      <c r="F1" s="321" t="s">
        <v>193</v>
      </c>
      <c r="G1" s="323"/>
      <c r="H1" s="323"/>
      <c r="I1" s="324"/>
    </row>
    <row r="2" spans="1:9" ht="14.25">
      <c r="A2" s="325"/>
      <c r="B2" s="326" t="s">
        <v>194</v>
      </c>
      <c r="C2" s="327"/>
      <c r="D2" s="326" t="s">
        <v>195</v>
      </c>
      <c r="E2" s="327"/>
      <c r="F2" s="321" t="s">
        <v>196</v>
      </c>
      <c r="G2" s="324"/>
      <c r="H2" s="328" t="s">
        <v>197</v>
      </c>
      <c r="I2" s="324"/>
    </row>
    <row r="3" spans="1:9" ht="15" thickBot="1">
      <c r="A3" s="256" t="s">
        <v>273</v>
      </c>
      <c r="B3" s="329"/>
      <c r="C3" s="330"/>
      <c r="D3" s="329"/>
      <c r="E3" s="330"/>
      <c r="F3" s="329" t="s">
        <v>198</v>
      </c>
      <c r="G3" s="330"/>
      <c r="H3" s="331" t="s">
        <v>199</v>
      </c>
      <c r="I3" s="330"/>
    </row>
    <row r="4" spans="1:9" ht="15" thickBot="1">
      <c r="A4" s="332"/>
      <c r="B4" s="177" t="s">
        <v>200</v>
      </c>
      <c r="C4" s="177" t="s">
        <v>29</v>
      </c>
      <c r="D4" s="299" t="s">
        <v>200</v>
      </c>
      <c r="E4" s="333" t="s">
        <v>29</v>
      </c>
      <c r="F4" s="177" t="s">
        <v>200</v>
      </c>
      <c r="G4" s="334" t="s">
        <v>29</v>
      </c>
      <c r="H4" s="177" t="s">
        <v>200</v>
      </c>
      <c r="I4" s="334" t="s">
        <v>29</v>
      </c>
    </row>
    <row r="5" spans="1:9" ht="14.25">
      <c r="A5" s="335" t="s">
        <v>201</v>
      </c>
      <c r="B5" s="336">
        <f>'Orçamento Receitas e Despesas'!C2</f>
        <v>0</v>
      </c>
      <c r="C5" s="336">
        <f>'Orçamento Receitas e Despesas'!D2</f>
        <v>100</v>
      </c>
      <c r="D5" s="337"/>
      <c r="E5" s="338"/>
      <c r="F5" s="336">
        <f>IF(D5&lt;&gt;0,D5,IF(E5&lt;&gt;0,B5*E5/100,B5))</f>
        <v>0</v>
      </c>
      <c r="G5" s="339">
        <v>100</v>
      </c>
      <c r="H5" s="336" t="str">
        <f>IF($E$10&lt;&gt;0,((B9)/(1-(E10+C7+C6)/100))," ")</f>
        <v> </v>
      </c>
      <c r="I5" s="340" t="str">
        <f>IF($E$10&lt;&gt;0,100," ")</f>
        <v> </v>
      </c>
    </row>
    <row r="6" spans="1:9" ht="14.25">
      <c r="A6" s="161" t="s">
        <v>202</v>
      </c>
      <c r="B6" s="341">
        <f>SUM('Orçamento Receitas e Despesas'!C6:C6)</f>
        <v>0</v>
      </c>
      <c r="C6" s="342" t="e">
        <f>B6/B5*100</f>
        <v>#DIV/0!</v>
      </c>
      <c r="D6" s="343"/>
      <c r="E6" s="344"/>
      <c r="F6" s="341" t="e">
        <f>IF(D6&lt;&gt;0,D6,IF(E6&lt;&gt;0,$F$5*E6/100,$F$5*C6/100))</f>
        <v>#DIV/0!</v>
      </c>
      <c r="G6" s="345" t="e">
        <f>F6/F$5*100</f>
        <v>#DIV/0!</v>
      </c>
      <c r="H6" s="341" t="str">
        <f>IF($E$10&lt;&gt;0,H5*I6/100," ")</f>
        <v> </v>
      </c>
      <c r="I6" s="346" t="str">
        <f>IF($E$10&lt;&gt;0,C6," ")</f>
        <v> </v>
      </c>
    </row>
    <row r="7" spans="1:9" ht="14.25">
      <c r="A7" s="161" t="s">
        <v>218</v>
      </c>
      <c r="B7" s="347">
        <f>SUM('Orçamento Receitas e Despesas'!C7:C17)</f>
        <v>0</v>
      </c>
      <c r="C7" s="342" t="e">
        <f>B7/B5*100</f>
        <v>#DIV/0!</v>
      </c>
      <c r="D7" s="348"/>
      <c r="E7" s="344"/>
      <c r="F7" s="341" t="e">
        <f>IF(E7&lt;&gt;0,$F$5*E7/100,$F$5*C7/100)</f>
        <v>#DIV/0!</v>
      </c>
      <c r="G7" s="345" t="e">
        <f>F7/F$5*100</f>
        <v>#DIV/0!</v>
      </c>
      <c r="H7" s="341" t="str">
        <f>IF($E$10&lt;&gt;0,H5*I7/100," ")</f>
        <v> </v>
      </c>
      <c r="I7" s="346" t="str">
        <f>IF($E$10&lt;&gt;0,C7," ")</f>
        <v> </v>
      </c>
    </row>
    <row r="8" spans="1:9" ht="14.25">
      <c r="A8" s="161" t="s">
        <v>203</v>
      </c>
      <c r="B8" s="341">
        <f>B5-B6-B7</f>
        <v>0</v>
      </c>
      <c r="C8" s="342" t="e">
        <f>B8/B5*100</f>
        <v>#DIV/0!</v>
      </c>
      <c r="D8" s="349"/>
      <c r="E8" s="350"/>
      <c r="F8" s="341" t="e">
        <f>$F$5-F6-F7</f>
        <v>#DIV/0!</v>
      </c>
      <c r="G8" s="345" t="e">
        <f>F8/F$5*100</f>
        <v>#DIV/0!</v>
      </c>
      <c r="H8" s="341" t="str">
        <f>IF($E$10&lt;&gt;0,H5-H6-H7," ")</f>
        <v> </v>
      </c>
      <c r="I8" s="346" t="str">
        <f>IF($E$10&lt;&gt;0,H8/$H$5*100," ")</f>
        <v> </v>
      </c>
    </row>
    <row r="9" spans="1:9" ht="14.25">
      <c r="A9" s="161" t="s">
        <v>204</v>
      </c>
      <c r="B9" s="341">
        <f>'Orçamento Receitas e Despesas'!C19</f>
        <v>0</v>
      </c>
      <c r="C9" s="342" t="e">
        <f>B9/B5*100</f>
        <v>#DIV/0!</v>
      </c>
      <c r="D9" s="343"/>
      <c r="E9" s="344"/>
      <c r="F9" s="341">
        <f>IF(D9&lt;&gt;0,D9,IF(E9&lt;&gt;0,$F$5*E9/100,B9))</f>
        <v>0</v>
      </c>
      <c r="G9" s="345" t="e">
        <f>F9/F$5*100</f>
        <v>#DIV/0!</v>
      </c>
      <c r="H9" s="341" t="str">
        <f>IF($E$10&lt;&gt;0,B9," ")</f>
        <v> </v>
      </c>
      <c r="I9" s="346" t="str">
        <f>IF($E$10&lt;&gt;0,H9/$H$5*100," ")</f>
        <v> </v>
      </c>
    </row>
    <row r="10" spans="1:9" ht="14.25">
      <c r="A10" s="161" t="s">
        <v>199</v>
      </c>
      <c r="B10" s="341">
        <f>'Orçamento Receitas e Despesas'!C42</f>
        <v>0</v>
      </c>
      <c r="C10" s="342" t="e">
        <f>B10/B5*100</f>
        <v>#DIV/0!</v>
      </c>
      <c r="D10" s="348"/>
      <c r="E10" s="344"/>
      <c r="F10" s="341" t="e">
        <f>F8-F9</f>
        <v>#DIV/0!</v>
      </c>
      <c r="G10" s="345" t="e">
        <f>F10/F$5*100</f>
        <v>#DIV/0!</v>
      </c>
      <c r="H10" s="341" t="str">
        <f>IF($E$10&lt;&gt;0,H8-H9," ")</f>
        <v> </v>
      </c>
      <c r="I10" s="346" t="str">
        <f>IF($E$10&lt;&gt;0,H10/$H$5*100," ")</f>
        <v> </v>
      </c>
    </row>
    <row r="11" spans="1:9" ht="14.25">
      <c r="A11" s="351"/>
      <c r="B11" s="351"/>
      <c r="C11" s="351"/>
      <c r="D11" s="349"/>
      <c r="E11" s="350"/>
      <c r="F11" s="351"/>
      <c r="G11" s="352"/>
      <c r="H11" s="353"/>
      <c r="I11" s="354"/>
    </row>
    <row r="12" spans="1:9" ht="14.25">
      <c r="A12" s="161" t="s">
        <v>15</v>
      </c>
      <c r="B12" s="341" t="str">
        <f>IF(B8&lt;=0," ",(B9/B8)*B5)</f>
        <v> </v>
      </c>
      <c r="C12" s="342" t="str">
        <f>IF(B8&lt;=0," ",B12/B$5*100)</f>
        <v> </v>
      </c>
      <c r="D12" s="349"/>
      <c r="E12" s="350"/>
      <c r="F12" s="341" t="e">
        <f>IF(F8&lt;=0," ",(F9/F8)*F5)</f>
        <v>#DIV/0!</v>
      </c>
      <c r="G12" s="345" t="e">
        <f>IF(F8&lt;=0," ",F12/F$5*100)</f>
        <v>#DIV/0!</v>
      </c>
      <c r="H12" s="341" t="str">
        <f>IF($E$10&lt;&gt;0,IF(H8&lt;=0," ",(H9/H8)*H5)," ")</f>
        <v> </v>
      </c>
      <c r="I12" s="346" t="str">
        <f>IF($E$10&lt;&gt;0,IF(H8&lt;=0," ",H12/$H$5*100)," ")</f>
        <v> </v>
      </c>
    </row>
    <row r="13" spans="1:9" ht="14.25">
      <c r="A13" s="161" t="s">
        <v>167</v>
      </c>
      <c r="B13" s="378" t="str">
        <f>IF(B10&lt;=0," ",'Avaliação Econômico-Financeira'!D15)</f>
        <v> </v>
      </c>
      <c r="C13" s="355" t="s">
        <v>205</v>
      </c>
      <c r="D13" s="349"/>
      <c r="E13" s="350"/>
      <c r="F13" s="356" t="e">
        <f>IF(F10&lt;=0," ",(F10/('Avaliação Econômico-Financeira'!D14))*100)</f>
        <v>#DIV/0!</v>
      </c>
      <c r="G13" s="357" t="s">
        <v>205</v>
      </c>
      <c r="H13" s="358" t="str">
        <f>IF($E$10&lt;&gt;0,IF(H10&lt;=0," ",(H10/('Investimento Fixo'!$D$47+'Avaliação Econômico-Financeira'!$D$9))*100)," ")</f>
        <v> </v>
      </c>
      <c r="I13" s="359" t="s">
        <v>205</v>
      </c>
    </row>
    <row r="14" spans="1:9" ht="15" thickBot="1">
      <c r="A14" s="360" t="s">
        <v>169</v>
      </c>
      <c r="B14" s="379" t="str">
        <f>IF(B10&lt;=0," ",('Avaliação Econômico-Financeira'!D17))</f>
        <v> </v>
      </c>
      <c r="C14" s="361" t="s">
        <v>206</v>
      </c>
      <c r="D14" s="362"/>
      <c r="E14" s="363"/>
      <c r="F14" s="379" t="e">
        <f>IF(F10&lt;=0," ",('Avaliação Econômico-Financeira'!D14)/F10)</f>
        <v>#DIV/0!</v>
      </c>
      <c r="G14" s="364" t="s">
        <v>206</v>
      </c>
      <c r="H14" s="365" t="str">
        <f>IF($E$10&lt;&gt;0,IF(H10&lt;=0," ",('Investimento Fixo'!$D$47+'Avaliação Econômico-Financeira'!$D$9)/H10)," ")</f>
        <v> </v>
      </c>
      <c r="I14" s="282" t="s">
        <v>206</v>
      </c>
    </row>
    <row r="15" spans="1:9" ht="14.25">
      <c r="A15" s="128"/>
      <c r="B15" s="128"/>
      <c r="C15" s="128"/>
      <c r="D15" s="366"/>
      <c r="E15" s="366"/>
      <c r="F15" s="366"/>
      <c r="G15" s="367"/>
      <c r="H15" s="128"/>
      <c r="I15" s="128"/>
    </row>
    <row r="16" spans="1:9" ht="14.25" hidden="1">
      <c r="A16" s="128"/>
      <c r="B16" s="128"/>
      <c r="C16" s="128"/>
      <c r="D16" s="366"/>
      <c r="E16" s="366"/>
      <c r="F16" s="366"/>
      <c r="G16" s="367"/>
      <c r="H16" s="128"/>
      <c r="I16" s="128"/>
    </row>
    <row r="17" spans="1:9" ht="14.25" hidden="1">
      <c r="A17" s="128"/>
      <c r="B17" s="128"/>
      <c r="C17" s="128"/>
      <c r="D17" s="366"/>
      <c r="E17" s="366"/>
      <c r="F17" s="366"/>
      <c r="G17" s="367"/>
      <c r="H17" s="128"/>
      <c r="I17" s="128"/>
    </row>
    <row r="18" spans="1:9" ht="14.25" hidden="1">
      <c r="A18" s="128"/>
      <c r="B18" s="128"/>
      <c r="C18" s="128"/>
      <c r="D18" s="366"/>
      <c r="E18" s="366"/>
      <c r="F18" s="366"/>
      <c r="G18" s="367"/>
      <c r="H18" s="128"/>
      <c r="I18" s="128"/>
    </row>
    <row r="19" spans="1:9" ht="14.25" hidden="1">
      <c r="A19" s="128"/>
      <c r="B19" s="128"/>
      <c r="C19" s="128"/>
      <c r="D19" s="366"/>
      <c r="E19" s="366"/>
      <c r="F19" s="366"/>
      <c r="G19" s="367"/>
      <c r="H19" s="128"/>
      <c r="I19" s="128"/>
    </row>
    <row r="20" spans="1:9" ht="14.25" hidden="1">
      <c r="A20" s="128"/>
      <c r="B20" s="128"/>
      <c r="C20" s="128"/>
      <c r="D20" s="366"/>
      <c r="E20" s="366"/>
      <c r="F20" s="366"/>
      <c r="G20" s="367"/>
      <c r="H20" s="128"/>
      <c r="I20" s="128"/>
    </row>
    <row r="21" spans="1:9" ht="14.25" hidden="1">
      <c r="A21" s="128"/>
      <c r="B21" s="128"/>
      <c r="C21" s="128"/>
      <c r="D21" s="366"/>
      <c r="E21" s="366"/>
      <c r="F21" s="366"/>
      <c r="G21" s="367"/>
      <c r="H21" s="128"/>
      <c r="I21" s="128"/>
    </row>
    <row r="22" spans="1:9" ht="14.25" hidden="1">
      <c r="A22" s="128"/>
      <c r="B22" s="128"/>
      <c r="C22" s="128"/>
      <c r="D22" s="366"/>
      <c r="E22" s="366"/>
      <c r="F22" s="366"/>
      <c r="G22" s="367"/>
      <c r="H22" s="128"/>
      <c r="I22" s="128"/>
    </row>
    <row r="23" spans="1:9" ht="14.25" hidden="1">
      <c r="A23" s="128"/>
      <c r="B23" s="128"/>
      <c r="C23" s="128"/>
      <c r="D23" s="366"/>
      <c r="E23" s="366"/>
      <c r="F23" s="366"/>
      <c r="G23" s="367"/>
      <c r="H23" s="128"/>
      <c r="I23" s="128"/>
    </row>
    <row r="24" spans="1:9" ht="14.25" hidden="1">
      <c r="A24" s="128"/>
      <c r="B24" s="128"/>
      <c r="C24" s="128"/>
      <c r="D24" s="366"/>
      <c r="E24" s="366"/>
      <c r="F24" s="366"/>
      <c r="G24" s="367"/>
      <c r="H24" s="128"/>
      <c r="I24" s="128"/>
    </row>
    <row r="25" spans="1:9" ht="14.25" hidden="1">
      <c r="A25" s="128"/>
      <c r="B25" s="128"/>
      <c r="C25" s="128"/>
      <c r="D25" s="366"/>
      <c r="E25" s="366"/>
      <c r="F25" s="366"/>
      <c r="G25" s="367"/>
      <c r="H25" s="128"/>
      <c r="I25" s="128"/>
    </row>
    <row r="26" spans="1:9" ht="14.25" hidden="1">
      <c r="A26" s="128"/>
      <c r="B26" s="128"/>
      <c r="C26" s="128"/>
      <c r="D26" s="366"/>
      <c r="E26" s="366"/>
      <c r="F26" s="366"/>
      <c r="G26" s="367"/>
      <c r="H26" s="128"/>
      <c r="I26" s="128"/>
    </row>
    <row r="27" spans="1:9" ht="14.25" hidden="1">
      <c r="A27" s="128"/>
      <c r="B27" s="128"/>
      <c r="C27" s="128"/>
      <c r="D27" s="366"/>
      <c r="E27" s="366"/>
      <c r="F27" s="366"/>
      <c r="G27" s="367"/>
      <c r="H27" s="128"/>
      <c r="I27" s="128"/>
    </row>
    <row r="28" spans="1:9" ht="14.25" hidden="1">
      <c r="A28" s="128"/>
      <c r="B28" s="128"/>
      <c r="C28" s="128"/>
      <c r="D28" s="366"/>
      <c r="E28" s="366"/>
      <c r="F28" s="366"/>
      <c r="G28" s="367"/>
      <c r="H28" s="128"/>
      <c r="I28" s="128"/>
    </row>
    <row r="29" spans="1:9" ht="14.25" hidden="1">
      <c r="A29" s="128"/>
      <c r="B29" s="128"/>
      <c r="C29" s="128"/>
      <c r="D29" s="366"/>
      <c r="E29" s="366"/>
      <c r="F29" s="366"/>
      <c r="G29" s="367"/>
      <c r="H29" s="128"/>
      <c r="I29" s="128"/>
    </row>
    <row r="30" spans="1:9" ht="14.25" hidden="1">
      <c r="A30" s="128"/>
      <c r="B30" s="128"/>
      <c r="C30" s="128"/>
      <c r="D30" s="366"/>
      <c r="E30" s="366"/>
      <c r="F30" s="366"/>
      <c r="G30" s="367"/>
      <c r="H30" s="128"/>
      <c r="I30" s="128"/>
    </row>
    <row r="31" spans="1:9" ht="14.25" hidden="1">
      <c r="A31" s="128"/>
      <c r="B31" s="128"/>
      <c r="C31" s="128"/>
      <c r="D31" s="366"/>
      <c r="E31" s="366"/>
      <c r="F31" s="366"/>
      <c r="G31" s="367"/>
      <c r="H31" s="128"/>
      <c r="I31" s="128"/>
    </row>
    <row r="32" spans="1:9" ht="14.25" hidden="1">
      <c r="A32" s="128"/>
      <c r="B32" s="128"/>
      <c r="C32" s="128"/>
      <c r="D32" s="366"/>
      <c r="E32" s="366"/>
      <c r="F32" s="366"/>
      <c r="G32" s="367"/>
      <c r="H32" s="128"/>
      <c r="I32" s="128"/>
    </row>
    <row r="33" spans="1:9" ht="14.25" hidden="1">
      <c r="A33" s="128"/>
      <c r="B33" s="128"/>
      <c r="C33" s="128"/>
      <c r="D33" s="366"/>
      <c r="E33" s="366"/>
      <c r="F33" s="366"/>
      <c r="G33" s="367"/>
      <c r="H33" s="128"/>
      <c r="I33" s="128"/>
    </row>
    <row r="34" spans="1:9" ht="14.25" hidden="1">
      <c r="A34" s="128"/>
      <c r="B34" s="128"/>
      <c r="C34" s="128"/>
      <c r="D34" s="366"/>
      <c r="E34" s="366"/>
      <c r="F34" s="366"/>
      <c r="G34" s="367"/>
      <c r="H34" s="128"/>
      <c r="I34" s="128"/>
    </row>
    <row r="35" spans="1:9" ht="14.25" hidden="1">
      <c r="A35" s="128"/>
      <c r="B35" s="128"/>
      <c r="C35" s="128"/>
      <c r="D35" s="366"/>
      <c r="E35" s="366"/>
      <c r="F35" s="366"/>
      <c r="G35" s="367"/>
      <c r="H35" s="128"/>
      <c r="I35" s="128"/>
    </row>
    <row r="36" spans="1:9" ht="14.25" hidden="1">
      <c r="A36" s="128"/>
      <c r="B36" s="128"/>
      <c r="C36" s="128"/>
      <c r="D36" s="366"/>
      <c r="E36" s="366"/>
      <c r="F36" s="366"/>
      <c r="G36" s="367"/>
      <c r="H36" s="128"/>
      <c r="I36" s="128"/>
    </row>
    <row r="37" spans="1:9" ht="14.25" hidden="1">
      <c r="A37" s="128"/>
      <c r="B37" s="128"/>
      <c r="C37" s="128"/>
      <c r="D37" s="366"/>
      <c r="E37" s="366"/>
      <c r="F37" s="366"/>
      <c r="G37" s="367"/>
      <c r="H37" s="128"/>
      <c r="I37" s="128"/>
    </row>
    <row r="38" spans="1:9" ht="14.25" hidden="1">
      <c r="A38" s="128"/>
      <c r="B38" s="128"/>
      <c r="C38" s="128"/>
      <c r="D38" s="366"/>
      <c r="E38" s="366"/>
      <c r="F38" s="366"/>
      <c r="G38" s="367"/>
      <c r="H38" s="128"/>
      <c r="I38" s="128"/>
    </row>
    <row r="39" spans="1:9" ht="14.25" hidden="1">
      <c r="A39" s="128"/>
      <c r="B39" s="128"/>
      <c r="C39" s="128"/>
      <c r="D39" s="366"/>
      <c r="E39" s="366"/>
      <c r="F39" s="366"/>
      <c r="G39" s="367"/>
      <c r="H39" s="128"/>
      <c r="I39" s="128"/>
    </row>
    <row r="40" spans="1:9" ht="14.25" hidden="1">
      <c r="A40" s="128"/>
      <c r="B40" s="128"/>
      <c r="C40" s="128"/>
      <c r="D40" s="366"/>
      <c r="E40" s="366"/>
      <c r="F40" s="366"/>
      <c r="G40" s="367"/>
      <c r="H40" s="128"/>
      <c r="I40" s="128"/>
    </row>
    <row r="41" spans="1:9" ht="14.25" hidden="1">
      <c r="A41" s="128"/>
      <c r="B41" s="128"/>
      <c r="C41" s="128"/>
      <c r="D41" s="366"/>
      <c r="E41" s="366"/>
      <c r="F41" s="366"/>
      <c r="G41" s="367"/>
      <c r="H41" s="128"/>
      <c r="I41" s="128"/>
    </row>
    <row r="42" spans="1:9" ht="14.25" hidden="1">
      <c r="A42" s="128"/>
      <c r="B42" s="128"/>
      <c r="C42" s="128"/>
      <c r="D42" s="366"/>
      <c r="E42" s="366"/>
      <c r="F42" s="366"/>
      <c r="G42" s="367"/>
      <c r="H42" s="128"/>
      <c r="I42" s="128"/>
    </row>
    <row r="43" spans="1:9" ht="14.25" hidden="1">
      <c r="A43" s="128"/>
      <c r="B43" s="128"/>
      <c r="C43" s="128"/>
      <c r="D43" s="366"/>
      <c r="E43" s="366"/>
      <c r="F43" s="366"/>
      <c r="G43" s="367"/>
      <c r="H43" s="128"/>
      <c r="I43" s="128"/>
    </row>
    <row r="44" spans="1:9" ht="14.25" hidden="1">
      <c r="A44" s="128"/>
      <c r="B44" s="128"/>
      <c r="C44" s="128"/>
      <c r="D44" s="366"/>
      <c r="E44" s="366"/>
      <c r="F44" s="366"/>
      <c r="G44" s="367"/>
      <c r="H44" s="128"/>
      <c r="I44" s="128"/>
    </row>
    <row r="45" ht="12.75" hidden="1"/>
  </sheetData>
  <sheetProtection password="C02B" sheet="1" objects="1" scenarios="1"/>
  <hyperlinks>
    <hyperlink ref="A3" location="Início!c18" display="Início!c18"/>
  </hyperlinks>
  <printOptions/>
  <pageMargins left="0.32" right="0.33" top="2.2" bottom="1" header="0.7" footer="0.492125985"/>
  <pageSetup blackAndWhite="1" horizontalDpi="300" verticalDpi="300" orientation="portrait" scale="69" r:id="rId1"/>
  <headerFooter alignWithMargins="0">
    <oddHeader>&amp;C
&amp;"Verdana,Negrito"&amp;20&amp;A</oddHeader>
    <oddFooter>&amp;L&amp;D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M25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3" customWidth="1"/>
    <col min="2" max="2" width="41.57421875" style="3" customWidth="1"/>
    <col min="3" max="3" width="11.28125" style="3" customWidth="1"/>
    <col min="4" max="4" width="11.57421875" style="3" customWidth="1"/>
    <col min="5" max="5" width="10.00390625" style="3" customWidth="1"/>
    <col min="6" max="6" width="18.421875" style="3" bestFit="1" customWidth="1"/>
    <col min="7" max="16384" width="8.00390625" style="3" customWidth="1"/>
  </cols>
  <sheetData>
    <row r="1" spans="1:9" ht="21.75" customHeight="1">
      <c r="A1" s="22" t="s">
        <v>18</v>
      </c>
      <c r="B1" s="20">
        <f>cliente</f>
        <v>0</v>
      </c>
      <c r="C1" s="2"/>
      <c r="D1" s="2"/>
      <c r="E1" s="2"/>
      <c r="F1" s="2"/>
      <c r="G1" s="2"/>
      <c r="H1" s="2"/>
      <c r="I1" s="2"/>
    </row>
    <row r="2" spans="1:9" ht="21.75" customHeight="1">
      <c r="A2" s="22" t="s">
        <v>19</v>
      </c>
      <c r="B2" s="20"/>
      <c r="C2" s="2"/>
      <c r="D2" s="2"/>
      <c r="E2" s="2"/>
      <c r="F2" s="2"/>
      <c r="G2" s="2"/>
      <c r="H2" s="2"/>
      <c r="I2" s="2"/>
    </row>
    <row r="3" spans="1:9" ht="21" customHeight="1">
      <c r="A3" s="22" t="s">
        <v>20</v>
      </c>
      <c r="B3" s="20">
        <v>2</v>
      </c>
      <c r="C3" s="2"/>
      <c r="D3" s="2"/>
      <c r="E3" s="2"/>
      <c r="F3" s="2"/>
      <c r="G3" s="2"/>
      <c r="H3" s="2"/>
      <c r="I3" s="2"/>
    </row>
    <row r="4" spans="1:9" ht="21" customHeight="1">
      <c r="A4" s="23">
        <v>1</v>
      </c>
      <c r="B4" s="26" t="s">
        <v>21</v>
      </c>
      <c r="C4" s="2"/>
      <c r="D4" s="4"/>
      <c r="E4" s="5"/>
      <c r="F4" s="2"/>
      <c r="G4" s="2"/>
      <c r="H4" s="2"/>
      <c r="I4" s="2"/>
    </row>
    <row r="5" spans="1:9" ht="21" customHeight="1">
      <c r="A5" s="23">
        <v>2</v>
      </c>
      <c r="B5" s="26" t="s">
        <v>22</v>
      </c>
      <c r="C5" s="2"/>
      <c r="D5" s="4"/>
      <c r="E5" s="5"/>
      <c r="F5" s="2"/>
      <c r="G5" s="2"/>
      <c r="H5" s="2"/>
      <c r="I5" s="2"/>
    </row>
    <row r="6" spans="1:9" ht="21" customHeight="1">
      <c r="A6" s="23">
        <v>3</v>
      </c>
      <c r="B6" s="26" t="s">
        <v>23</v>
      </c>
      <c r="C6" s="2"/>
      <c r="D6" s="2"/>
      <c r="E6" s="2"/>
      <c r="F6" s="2"/>
      <c r="G6" s="2"/>
      <c r="H6" s="2"/>
      <c r="I6" s="2"/>
    </row>
    <row r="7" spans="1:9" ht="21" customHeight="1">
      <c r="A7" s="22" t="s">
        <v>24</v>
      </c>
      <c r="B7" s="20"/>
      <c r="C7" s="2"/>
      <c r="D7" s="2"/>
      <c r="E7" s="2"/>
      <c r="F7" s="2"/>
      <c r="G7" s="2"/>
      <c r="H7" s="2"/>
      <c r="I7" s="2"/>
    </row>
    <row r="8" spans="1:9" ht="18" customHeight="1">
      <c r="A8" s="24"/>
      <c r="B8" s="27"/>
      <c r="C8" s="27"/>
      <c r="D8" s="27"/>
      <c r="E8" s="27"/>
      <c r="F8" s="27"/>
      <c r="G8" s="24"/>
      <c r="H8" s="24"/>
      <c r="I8" s="2"/>
    </row>
    <row r="9" spans="1:9" ht="15" customHeight="1">
      <c r="A9" s="24"/>
      <c r="B9" s="24" t="s">
        <v>25</v>
      </c>
      <c r="C9" s="28"/>
      <c r="D9" s="27"/>
      <c r="E9" s="27"/>
      <c r="F9" s="27"/>
      <c r="G9" s="24"/>
      <c r="H9" s="24"/>
      <c r="I9" s="2"/>
    </row>
    <row r="10" spans="1:9" ht="15" customHeight="1">
      <c r="A10" s="25"/>
      <c r="B10" s="24"/>
      <c r="C10" s="24"/>
      <c r="D10" s="24"/>
      <c r="E10" s="24"/>
      <c r="F10" s="24"/>
      <c r="G10" s="24" t="s">
        <v>26</v>
      </c>
      <c r="H10" s="24"/>
      <c r="I10" s="2"/>
    </row>
    <row r="11" spans="1:9" ht="15.75">
      <c r="A11" s="24" t="s">
        <v>27</v>
      </c>
      <c r="B11" s="24"/>
      <c r="C11" s="20">
        <v>1</v>
      </c>
      <c r="D11" s="29"/>
      <c r="E11" s="30" t="s">
        <v>28</v>
      </c>
      <c r="F11" s="31">
        <v>1</v>
      </c>
      <c r="G11" s="32">
        <f>IF(C17=0,D17,IF(D17=0,C17))</f>
        <v>3</v>
      </c>
      <c r="H11" s="24" t="s">
        <v>29</v>
      </c>
      <c r="I11" s="2"/>
    </row>
    <row r="12" spans="1:9" ht="15.75">
      <c r="A12" s="24"/>
      <c r="B12" s="24"/>
      <c r="C12" s="24"/>
      <c r="D12" s="24"/>
      <c r="E12" s="30" t="s">
        <v>30</v>
      </c>
      <c r="F12" s="23">
        <v>2</v>
      </c>
      <c r="G12" s="33"/>
      <c r="H12" s="24"/>
      <c r="I12" s="2"/>
    </row>
    <row r="13" spans="1:9" ht="15.75">
      <c r="A13" s="24"/>
      <c r="B13" s="24"/>
      <c r="C13" s="24"/>
      <c r="D13" s="24"/>
      <c r="E13" s="30"/>
      <c r="F13" s="34"/>
      <c r="G13" s="33" t="s">
        <v>31</v>
      </c>
      <c r="H13" s="24"/>
      <c r="I13" s="2"/>
    </row>
    <row r="14" spans="1:13" ht="15.75">
      <c r="A14" s="24" t="s">
        <v>32</v>
      </c>
      <c r="B14" s="24"/>
      <c r="C14" s="20">
        <v>1</v>
      </c>
      <c r="D14" s="24"/>
      <c r="E14" s="35"/>
      <c r="F14" s="36" t="s">
        <v>251</v>
      </c>
      <c r="G14" s="37">
        <v>1</v>
      </c>
      <c r="H14" s="32" t="str">
        <f>IF(C14=2,"-x-",IF('Receita Operacional Proj.'!F29&lt;=C22,"A",IF('Receita Operacional Proj.'!F29&lt;=C23,"B",IF('Receita Operacional Proj.'!F29&lt;=C24,"C",IF('Receita Operacional Proj.'!F29&gt;=C25,"D","-x-")))))</f>
        <v>A</v>
      </c>
      <c r="I14" s="6"/>
      <c r="M14" s="2"/>
    </row>
    <row r="15" spans="1:9" ht="15.75">
      <c r="A15" s="24"/>
      <c r="B15" s="24"/>
      <c r="C15" s="24"/>
      <c r="D15" s="24"/>
      <c r="E15" s="24"/>
      <c r="F15" s="36" t="s">
        <v>30</v>
      </c>
      <c r="G15" s="23">
        <v>2</v>
      </c>
      <c r="H15" s="38"/>
      <c r="I15" s="6"/>
    </row>
    <row r="16" spans="1:9" ht="20.25">
      <c r="A16" s="42" t="s">
        <v>33</v>
      </c>
      <c r="B16" s="28"/>
      <c r="C16" s="28"/>
      <c r="D16" s="28"/>
      <c r="E16" s="28"/>
      <c r="F16" s="2"/>
      <c r="G16" s="2"/>
      <c r="H16" s="2"/>
      <c r="I16" s="2"/>
    </row>
    <row r="17" spans="1:9" ht="15.75">
      <c r="A17" s="39" t="s">
        <v>34</v>
      </c>
      <c r="B17" s="39" t="s">
        <v>35</v>
      </c>
      <c r="C17" s="40">
        <f>IF('Preenchimento Preliminar'!C11=2,0,IF('Receita Operacional Proj.'!F29&lt;=60000,3,IF('Receita Operacional Proj.'!F29&lt;=90000,4,IF('Receita Operacional Proj.'!F29&lt;=120000,5,IF('Receita Operacional Proj.'!F29&lt;=240000,5.4,IF('Receita Operacional Proj.'!F29&lt;=360000,5.8,IF('Receita Operacional Proj.'!F29&lt;=480000,6.2,IF('Receita Operacional Proj.'!F29&gt;480000,0))))))))</f>
        <v>3</v>
      </c>
      <c r="D17" s="41">
        <f>IF('Preenchimento Preliminar'!C11=2,0,IF('Receita Operacional Proj.'!F29&lt;=480000,0,IF('Receita Operacional Proj.'!F29&lt;=600000,6.6,IF('Receita Operacional Proj.'!F29&lt;=720000,7,IF('Receita Operacional Proj.'!F29&lt;=840000,7.4,IF('Receita Operacional Proj.'!F29&lt;=960000,7.8,IF('Receita Operacional Proj.'!F29&lt;=1080000,8.2,IF('Receita Operacional Proj.'!F29&lt;=1200000,8.6))))))))</f>
        <v>0</v>
      </c>
      <c r="E17" s="40">
        <v>0.5</v>
      </c>
      <c r="F17" s="2"/>
      <c r="G17" s="2"/>
      <c r="H17" s="2"/>
      <c r="I17" s="2"/>
    </row>
    <row r="18" spans="1:9" ht="12.75">
      <c r="A18" s="43" t="s">
        <v>36</v>
      </c>
      <c r="B18" s="48">
        <v>244000</v>
      </c>
      <c r="C18" s="2"/>
      <c r="D18" s="2"/>
      <c r="E18" s="2"/>
      <c r="F18" s="2"/>
      <c r="G18" s="2"/>
      <c r="H18" s="2"/>
      <c r="I18" s="2"/>
    </row>
    <row r="19" spans="1:9" ht="12.75">
      <c r="A19" s="43" t="s">
        <v>37</v>
      </c>
      <c r="B19" s="48">
        <v>1200000</v>
      </c>
      <c r="C19" s="2"/>
      <c r="D19" s="2"/>
      <c r="E19" s="2"/>
      <c r="F19" s="2"/>
      <c r="G19" s="2"/>
      <c r="H19" s="2"/>
      <c r="I19" s="2"/>
    </row>
    <row r="20" spans="1:9" ht="12.75">
      <c r="A20" s="44" t="s">
        <v>38</v>
      </c>
      <c r="B20" s="45"/>
      <c r="C20" s="52"/>
      <c r="D20" s="52"/>
      <c r="E20" s="57"/>
      <c r="F20" s="58"/>
      <c r="G20" s="2"/>
      <c r="H20" s="2"/>
      <c r="I20" s="2"/>
    </row>
    <row r="21" spans="1:9" ht="12.75">
      <c r="A21" s="45" t="s">
        <v>31</v>
      </c>
      <c r="B21" s="45" t="s">
        <v>244</v>
      </c>
      <c r="C21" s="53"/>
      <c r="D21" s="45" t="s">
        <v>39</v>
      </c>
      <c r="E21" s="91" t="s">
        <v>242</v>
      </c>
      <c r="F21" s="56" t="s">
        <v>40</v>
      </c>
      <c r="G21" s="2"/>
      <c r="H21" s="2"/>
      <c r="I21" s="2"/>
    </row>
    <row r="22" spans="1:9" ht="12.75">
      <c r="A22" s="46" t="s">
        <v>41</v>
      </c>
      <c r="B22" s="49" t="s">
        <v>42</v>
      </c>
      <c r="C22" s="54">
        <v>15000</v>
      </c>
      <c r="D22" s="21">
        <v>0</v>
      </c>
      <c r="E22" s="92"/>
      <c r="F22" s="59"/>
      <c r="G22" s="2"/>
      <c r="H22" s="2"/>
      <c r="I22" s="2"/>
    </row>
    <row r="23" spans="1:9" ht="12.75">
      <c r="A23" s="46" t="s">
        <v>43</v>
      </c>
      <c r="B23" s="50" t="s">
        <v>239</v>
      </c>
      <c r="C23" s="54">
        <v>40000</v>
      </c>
      <c r="D23" s="59"/>
      <c r="E23" s="93">
        <v>0.01</v>
      </c>
      <c r="F23" s="60">
        <v>0.02</v>
      </c>
      <c r="G23" s="2"/>
      <c r="H23" s="2"/>
      <c r="I23" s="2"/>
    </row>
    <row r="24" spans="1:9" ht="12.75">
      <c r="A24" s="46" t="s">
        <v>44</v>
      </c>
      <c r="B24" s="49" t="s">
        <v>240</v>
      </c>
      <c r="C24" s="54">
        <v>100000</v>
      </c>
      <c r="D24" s="59"/>
      <c r="E24" s="93">
        <v>0.025</v>
      </c>
      <c r="F24" s="60">
        <v>0.03</v>
      </c>
      <c r="G24" s="2"/>
      <c r="H24" s="2"/>
      <c r="I24" s="2"/>
    </row>
    <row r="25" spans="1:9" ht="13.5" thickBot="1">
      <c r="A25" s="47" t="s">
        <v>243</v>
      </c>
      <c r="B25" s="51" t="s">
        <v>241</v>
      </c>
      <c r="C25" s="55">
        <v>100000</v>
      </c>
      <c r="D25" s="62"/>
      <c r="E25" s="94">
        <v>0.035</v>
      </c>
      <c r="F25" s="61">
        <v>0.04</v>
      </c>
      <c r="G25" s="2"/>
      <c r="H25" s="2"/>
      <c r="I25" s="2"/>
    </row>
  </sheetData>
  <printOptions/>
  <pageMargins left="0.37" right="0.29" top="1.18" bottom="1" header="0.66" footer="0.492125985"/>
  <pageSetup blackAndWhite="1" horizontalDpi="300" verticalDpi="300" orientation="portrait" paperSize="9" scale="85" r:id="rId3"/>
  <headerFooter alignWithMargins="0">
    <oddHeader>&amp;C
&amp;A</oddHeader>
    <oddFooter>&amp;L&amp;D &amp;T&amp;R&amp;F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J42"/>
  <sheetViews>
    <sheetView workbookViewId="0" topLeftCell="A9">
      <selection activeCell="I34" sqref="I34"/>
    </sheetView>
  </sheetViews>
  <sheetFormatPr defaultColWidth="9.140625" defaultRowHeight="12.75" zeroHeight="1"/>
  <cols>
    <col min="1" max="1" width="10.28125" style="111" customWidth="1"/>
    <col min="2" max="2" width="14.140625" style="111" customWidth="1"/>
    <col min="3" max="3" width="10.7109375" style="111" bestFit="1" customWidth="1"/>
    <col min="4" max="4" width="11.140625" style="111" bestFit="1" customWidth="1"/>
    <col min="5" max="7" width="10.28125" style="111" customWidth="1"/>
    <col min="8" max="8" width="10.421875" style="111" customWidth="1"/>
    <col min="9" max="9" width="10.28125" style="111" customWidth="1"/>
    <col min="10" max="10" width="10.421875" style="111" hidden="1" customWidth="1"/>
    <col min="11" max="13" width="9.140625" style="111" hidden="1" customWidth="1"/>
    <col min="14" max="14" width="9.57421875" style="111" hidden="1" customWidth="1"/>
    <col min="15" max="16384" width="9.140625" style="111" hidden="1" customWidth="1"/>
  </cols>
  <sheetData>
    <row r="1" spans="1:9" ht="14.25">
      <c r="A1" s="108"/>
      <c r="B1" s="108"/>
      <c r="C1" s="108"/>
      <c r="D1" s="109"/>
      <c r="E1" s="110"/>
      <c r="F1" s="108"/>
      <c r="G1" s="108"/>
      <c r="H1" s="108"/>
      <c r="I1" s="108"/>
    </row>
    <row r="2" spans="1:9" ht="18">
      <c r="A2" s="108"/>
      <c r="B2" s="108"/>
      <c r="C2" s="108"/>
      <c r="D2" s="112"/>
      <c r="E2" s="113"/>
      <c r="F2" s="108"/>
      <c r="G2" s="108"/>
      <c r="H2" s="108"/>
      <c r="I2" s="108"/>
    </row>
    <row r="3" ht="12.75"/>
    <row r="4" ht="12.75"/>
    <row r="5" ht="12.75"/>
    <row r="6" ht="12.75"/>
    <row r="7" ht="12.75"/>
    <row r="8" spans="1:10" ht="15">
      <c r="A8" s="117"/>
      <c r="B8" s="108"/>
      <c r="C8" s="108"/>
      <c r="E8" s="114"/>
      <c r="F8" s="108"/>
      <c r="G8" s="108"/>
      <c r="H8" s="108"/>
      <c r="I8" s="108"/>
      <c r="J8" s="115"/>
    </row>
    <row r="9" spans="1:10" ht="19.5">
      <c r="A9" s="117"/>
      <c r="B9" s="108"/>
      <c r="C9" s="108"/>
      <c r="D9" s="125"/>
      <c r="E9" s="114"/>
      <c r="F9" s="108"/>
      <c r="G9" s="108"/>
      <c r="H9" s="108"/>
      <c r="I9" s="108"/>
      <c r="J9" s="115"/>
    </row>
    <row r="10" spans="1:10" ht="19.5">
      <c r="A10" s="117"/>
      <c r="B10" s="108"/>
      <c r="C10" s="108"/>
      <c r="D10" s="125" t="s">
        <v>45</v>
      </c>
      <c r="E10" s="114"/>
      <c r="F10" s="108"/>
      <c r="G10" s="108"/>
      <c r="H10" s="108"/>
      <c r="I10" s="108"/>
      <c r="J10" s="115"/>
    </row>
    <row r="11" spans="1:10" ht="19.5">
      <c r="A11" s="117"/>
      <c r="B11" s="108"/>
      <c r="C11" s="108"/>
      <c r="D11" s="125"/>
      <c r="E11" s="114"/>
      <c r="F11" s="108"/>
      <c r="G11" s="108"/>
      <c r="H11" s="108"/>
      <c r="I11" s="108"/>
      <c r="J11" s="115"/>
    </row>
    <row r="12" spans="1:10" ht="19.5">
      <c r="A12" s="117"/>
      <c r="B12" s="108"/>
      <c r="C12" s="108"/>
      <c r="D12" s="125"/>
      <c r="E12" s="114"/>
      <c r="F12" s="108"/>
      <c r="G12" s="108"/>
      <c r="H12" s="108"/>
      <c r="I12" s="108"/>
      <c r="J12" s="115"/>
    </row>
    <row r="13" spans="1:10" ht="15">
      <c r="A13" s="117"/>
      <c r="B13" s="108"/>
      <c r="C13" s="108"/>
      <c r="E13" s="121" t="s">
        <v>393</v>
      </c>
      <c r="F13" s="108"/>
      <c r="G13" s="108"/>
      <c r="H13" s="108"/>
      <c r="I13" s="108"/>
      <c r="J13" s="115"/>
    </row>
    <row r="14" spans="1:10" ht="15">
      <c r="A14" s="117"/>
      <c r="B14" s="108"/>
      <c r="C14" s="108"/>
      <c r="E14" s="121" t="s">
        <v>46</v>
      </c>
      <c r="F14" s="108"/>
      <c r="G14" s="108"/>
      <c r="H14" s="108"/>
      <c r="I14" s="108"/>
      <c r="J14" s="115"/>
    </row>
    <row r="15" spans="1:10" ht="19.5">
      <c r="A15" s="117"/>
      <c r="B15" s="108"/>
      <c r="C15" s="108"/>
      <c r="D15" s="125"/>
      <c r="E15" s="121" t="s">
        <v>47</v>
      </c>
      <c r="F15" s="108"/>
      <c r="G15" s="108"/>
      <c r="H15" s="108"/>
      <c r="I15" s="108"/>
      <c r="J15" s="115"/>
    </row>
    <row r="16" spans="1:10" ht="19.5">
      <c r="A16" s="117"/>
      <c r="B16" s="108"/>
      <c r="C16" s="108"/>
      <c r="D16" s="125"/>
      <c r="E16" s="121" t="s">
        <v>401</v>
      </c>
      <c r="F16" s="108"/>
      <c r="G16" s="108"/>
      <c r="H16" s="108"/>
      <c r="I16" s="108"/>
      <c r="J16" s="115"/>
    </row>
    <row r="17" spans="1:9" ht="19.5" customHeight="1">
      <c r="A17" s="108"/>
      <c r="B17" s="108"/>
      <c r="C17" s="108"/>
      <c r="D17" s="108"/>
      <c r="E17" s="112"/>
      <c r="F17" s="108"/>
      <c r="G17" s="108"/>
      <c r="H17" s="108"/>
      <c r="I17" s="108"/>
    </row>
    <row r="18" spans="5:9" s="120" customFormat="1" ht="15">
      <c r="E18" s="121" t="s">
        <v>48</v>
      </c>
      <c r="F18" s="122"/>
      <c r="H18" s="122"/>
      <c r="I18" s="122"/>
    </row>
    <row r="19" spans="5:9" s="120" customFormat="1" ht="15">
      <c r="E19" s="121" t="s">
        <v>49</v>
      </c>
      <c r="F19" s="123"/>
      <c r="H19" s="122"/>
      <c r="I19" s="122"/>
    </row>
    <row r="20" spans="5:9" s="120" customFormat="1" ht="15">
      <c r="E20" s="121" t="s">
        <v>50</v>
      </c>
      <c r="F20" s="123"/>
      <c r="H20" s="122"/>
      <c r="I20" s="122"/>
    </row>
    <row r="21" spans="5:9" s="120" customFormat="1" ht="15">
      <c r="E21" s="121" t="s">
        <v>51</v>
      </c>
      <c r="F21" s="123"/>
      <c r="H21" s="122"/>
      <c r="I21" s="122"/>
    </row>
    <row r="22" spans="5:9" s="120" customFormat="1" ht="15">
      <c r="E22" s="121"/>
      <c r="F22" s="123"/>
      <c r="H22" s="122"/>
      <c r="I22" s="122"/>
    </row>
    <row r="23" spans="5:9" s="120" customFormat="1" ht="15">
      <c r="E23" s="121" t="s">
        <v>52</v>
      </c>
      <c r="F23" s="123"/>
      <c r="H23" s="122"/>
      <c r="I23" s="122"/>
    </row>
    <row r="24" spans="5:9" s="120" customFormat="1" ht="15">
      <c r="E24" s="121" t="s">
        <v>53</v>
      </c>
      <c r="F24" s="123"/>
      <c r="H24" s="122"/>
      <c r="I24" s="122"/>
    </row>
    <row r="25" spans="6:9" s="120" customFormat="1" ht="15">
      <c r="F25" s="123"/>
      <c r="H25" s="122"/>
      <c r="I25" s="122"/>
    </row>
    <row r="26" spans="4:9" s="120" customFormat="1" ht="15">
      <c r="D26" s="258" t="s">
        <v>392</v>
      </c>
      <c r="F26" s="123"/>
      <c r="H26" s="122"/>
      <c r="I26" s="122"/>
    </row>
    <row r="27" spans="6:9" s="120" customFormat="1" ht="15">
      <c r="F27" s="123"/>
      <c r="H27" s="122"/>
      <c r="I27" s="122"/>
    </row>
    <row r="28" spans="1:9" s="120" customFormat="1" ht="15">
      <c r="A28" s="439"/>
      <c r="B28" s="439"/>
      <c r="C28" s="439"/>
      <c r="D28" s="439"/>
      <c r="E28" s="439"/>
      <c r="F28" s="123"/>
      <c r="H28" s="122"/>
      <c r="I28" s="122"/>
    </row>
    <row r="29" spans="5:9" s="120" customFormat="1" ht="15">
      <c r="E29" s="124"/>
      <c r="F29" s="123"/>
      <c r="H29" s="122"/>
      <c r="I29" s="122"/>
    </row>
    <row r="30" spans="6:9" s="120" customFormat="1" ht="15">
      <c r="F30" s="123"/>
      <c r="H30" s="122"/>
      <c r="I30" s="122"/>
    </row>
    <row r="31" spans="6:9" s="120" customFormat="1" ht="15">
      <c r="F31" s="123"/>
      <c r="H31" s="122"/>
      <c r="I31" s="122"/>
    </row>
    <row r="32" spans="2:5" ht="12.75">
      <c r="B32" s="408"/>
      <c r="C32" s="406"/>
      <c r="D32" s="407"/>
      <c r="E32" s="407"/>
    </row>
    <row r="33" spans="1:4" ht="12.75">
      <c r="A33" s="409"/>
      <c r="C33" s="411"/>
      <c r="D33" s="410"/>
    </row>
    <row r="34" spans="3:9" ht="14.25">
      <c r="C34" s="116"/>
      <c r="D34" s="116"/>
      <c r="E34" s="116"/>
      <c r="I34" s="127" t="s">
        <v>273</v>
      </c>
    </row>
    <row r="35" spans="3:5" ht="14.25" hidden="1">
      <c r="C35" s="116"/>
      <c r="D35" s="116"/>
      <c r="E35" s="116"/>
    </row>
    <row r="36" spans="3:5" ht="14.25" hidden="1">
      <c r="C36" s="116"/>
      <c r="D36" s="116"/>
      <c r="E36" s="116"/>
    </row>
    <row r="37" spans="3:5" ht="14.25" hidden="1">
      <c r="C37" s="116"/>
      <c r="D37" s="116"/>
      <c r="E37" s="116"/>
    </row>
    <row r="38" spans="3:5" ht="14.25" hidden="1">
      <c r="C38" s="116"/>
      <c r="D38" s="116"/>
      <c r="E38" s="116"/>
    </row>
    <row r="39" spans="3:5" ht="14.25" hidden="1">
      <c r="C39" s="116"/>
      <c r="D39" s="116"/>
      <c r="E39" s="116"/>
    </row>
    <row r="40" spans="3:5" ht="14.25" hidden="1">
      <c r="C40" s="116"/>
      <c r="D40" s="116"/>
      <c r="E40" s="116"/>
    </row>
    <row r="41" spans="3:5" ht="14.25" hidden="1">
      <c r="C41" s="116"/>
      <c r="D41" s="116"/>
      <c r="E41" s="116"/>
    </row>
    <row r="42" spans="3:5" ht="14.25" hidden="1">
      <c r="C42" s="116"/>
      <c r="D42" s="116"/>
      <c r="E42" s="116"/>
    </row>
  </sheetData>
  <sheetProtection password="C02B" sheet="1" objects="1" scenarios="1"/>
  <mergeCells count="1">
    <mergeCell ref="A28:E28"/>
  </mergeCells>
  <dataValidations count="1">
    <dataValidation operator="notEqual" allowBlank="1" showInputMessage="1" showErrorMessage="1" error="Abrevie!" sqref="A28"/>
  </dataValidations>
  <hyperlinks>
    <hyperlink ref="I34" location="Início!a11" display="Início!a1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1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workbookViewId="0" topLeftCell="A2">
      <selection activeCell="B18" sqref="B18:J48"/>
    </sheetView>
  </sheetViews>
  <sheetFormatPr defaultColWidth="9.140625" defaultRowHeight="12.75" zeroHeight="1"/>
  <cols>
    <col min="1" max="1" width="7.421875" style="0" customWidth="1"/>
    <col min="2" max="2" width="3.7109375" style="0" customWidth="1"/>
    <col min="12" max="16384" width="9.140625" style="0" hidden="1" customWidth="1"/>
  </cols>
  <sheetData>
    <row r="1" spans="2:6" ht="18">
      <c r="B1" s="17"/>
      <c r="C1" s="11"/>
      <c r="D1" s="11"/>
      <c r="E1" s="11"/>
      <c r="F1" s="11"/>
    </row>
    <row r="2" spans="1:10" ht="18">
      <c r="A2" s="126"/>
      <c r="B2" s="440" t="s">
        <v>346</v>
      </c>
      <c r="C2" s="441"/>
      <c r="D2" s="441"/>
      <c r="E2" s="441"/>
      <c r="F2" s="441"/>
      <c r="G2" s="441"/>
      <c r="H2" s="441"/>
      <c r="I2" s="441"/>
      <c r="J2" s="442"/>
    </row>
    <row r="3" spans="1:10" ht="14.25">
      <c r="A3" s="126"/>
      <c r="B3" s="137" t="s">
        <v>276</v>
      </c>
      <c r="C3" s="138"/>
      <c r="D3" s="134"/>
      <c r="E3" s="134"/>
      <c r="F3" s="134"/>
      <c r="G3" s="134"/>
      <c r="H3" s="134"/>
      <c r="I3" s="134"/>
      <c r="J3" s="139"/>
    </row>
    <row r="4" spans="1:10" ht="14.25">
      <c r="A4" s="126"/>
      <c r="B4" s="136"/>
      <c r="C4" s="136" t="s">
        <v>275</v>
      </c>
      <c r="D4" s="134"/>
      <c r="E4" s="134"/>
      <c r="F4" s="134"/>
      <c r="G4" s="134"/>
      <c r="H4" s="134"/>
      <c r="I4" s="134"/>
      <c r="J4" s="139"/>
    </row>
    <row r="5" spans="1:10" ht="14.25">
      <c r="A5" s="126"/>
      <c r="B5" s="136"/>
      <c r="C5" s="136"/>
      <c r="D5" s="134"/>
      <c r="E5" s="134"/>
      <c r="F5" s="134"/>
      <c r="G5" s="134"/>
      <c r="H5" s="134"/>
      <c r="I5" s="134"/>
      <c r="J5" s="139"/>
    </row>
    <row r="6" spans="1:10" ht="14.25">
      <c r="A6" s="126"/>
      <c r="B6" s="140" t="s">
        <v>310</v>
      </c>
      <c r="C6" s="136"/>
      <c r="D6" s="134"/>
      <c r="E6" s="134"/>
      <c r="F6" s="134"/>
      <c r="G6" s="134"/>
      <c r="H6" s="134"/>
      <c r="I6" s="134"/>
      <c r="J6" s="139"/>
    </row>
    <row r="7" spans="1:10" ht="14.25">
      <c r="A7" s="126"/>
      <c r="B7" s="136"/>
      <c r="C7" s="136" t="s">
        <v>277</v>
      </c>
      <c r="D7" s="134"/>
      <c r="E7" s="134"/>
      <c r="F7" s="134"/>
      <c r="G7" s="134"/>
      <c r="H7" s="134"/>
      <c r="I7" s="134"/>
      <c r="J7" s="139"/>
    </row>
    <row r="8" spans="1:10" ht="14.25">
      <c r="A8" s="126"/>
      <c r="B8" s="136"/>
      <c r="C8" s="136" t="s">
        <v>278</v>
      </c>
      <c r="D8" s="134"/>
      <c r="E8" s="134"/>
      <c r="F8" s="134"/>
      <c r="G8" s="134"/>
      <c r="H8" s="134"/>
      <c r="I8" s="134"/>
      <c r="J8" s="139"/>
    </row>
    <row r="9" spans="1:10" ht="14.25">
      <c r="A9" s="126"/>
      <c r="B9" s="136"/>
      <c r="C9" s="136" t="s">
        <v>279</v>
      </c>
      <c r="D9" s="134"/>
      <c r="E9" s="134"/>
      <c r="F9" s="134"/>
      <c r="G9" s="134"/>
      <c r="H9" s="134"/>
      <c r="I9" s="134"/>
      <c r="J9" s="139"/>
    </row>
    <row r="10" spans="1:10" ht="14.25">
      <c r="A10" s="126"/>
      <c r="B10" s="136"/>
      <c r="C10" s="136" t="s">
        <v>280</v>
      </c>
      <c r="D10" s="134"/>
      <c r="E10" s="134"/>
      <c r="F10" s="134"/>
      <c r="G10" s="134"/>
      <c r="H10" s="134"/>
      <c r="I10" s="134"/>
      <c r="J10" s="139"/>
    </row>
    <row r="11" spans="1:10" ht="14.25">
      <c r="A11" s="126"/>
      <c r="B11" s="136"/>
      <c r="C11" s="136" t="s">
        <v>281</v>
      </c>
      <c r="D11" s="134"/>
      <c r="E11" s="134"/>
      <c r="F11" s="134"/>
      <c r="G11" s="134"/>
      <c r="H11" s="134"/>
      <c r="I11" s="134"/>
      <c r="J11" s="139"/>
    </row>
    <row r="12" spans="1:10" ht="14.25">
      <c r="A12" s="126"/>
      <c r="B12" s="136"/>
      <c r="C12" s="136" t="s">
        <v>282</v>
      </c>
      <c r="D12" s="134"/>
      <c r="E12" s="134"/>
      <c r="F12" s="134"/>
      <c r="G12" s="134"/>
      <c r="H12" s="134"/>
      <c r="I12" s="134"/>
      <c r="J12" s="139"/>
    </row>
    <row r="13" spans="1:10" ht="14.25">
      <c r="A13" s="126"/>
      <c r="B13" s="136"/>
      <c r="C13" s="136" t="s">
        <v>283</v>
      </c>
      <c r="D13" s="134"/>
      <c r="E13" s="134"/>
      <c r="F13" s="134"/>
      <c r="G13" s="134"/>
      <c r="H13" s="134"/>
      <c r="I13" s="134"/>
      <c r="J13" s="139"/>
    </row>
    <row r="14" spans="1:10" ht="14.25">
      <c r="A14" s="126"/>
      <c r="B14" s="136"/>
      <c r="C14" s="136" t="s">
        <v>312</v>
      </c>
      <c r="D14" s="134"/>
      <c r="E14" s="134"/>
      <c r="F14" s="134"/>
      <c r="G14" s="134"/>
      <c r="H14" s="134"/>
      <c r="I14" s="134"/>
      <c r="J14" s="139"/>
    </row>
    <row r="15" spans="1:10" ht="14.25">
      <c r="A15" s="126"/>
      <c r="B15" s="136"/>
      <c r="C15" s="136" t="s">
        <v>284</v>
      </c>
      <c r="D15" s="134"/>
      <c r="E15" s="134"/>
      <c r="F15" s="134"/>
      <c r="G15" s="134"/>
      <c r="H15" s="134"/>
      <c r="I15" s="134"/>
      <c r="J15" s="139"/>
    </row>
    <row r="16" spans="1:10" ht="14.25">
      <c r="A16" s="126"/>
      <c r="B16" s="136"/>
      <c r="C16" s="136"/>
      <c r="D16" s="134"/>
      <c r="E16" s="134"/>
      <c r="F16" s="134"/>
      <c r="G16" s="134"/>
      <c r="H16" s="134"/>
      <c r="I16" s="134"/>
      <c r="J16" s="139"/>
    </row>
    <row r="17" spans="2:10" ht="12.75">
      <c r="B17" s="443" t="s">
        <v>311</v>
      </c>
      <c r="C17" s="444"/>
      <c r="D17" s="444"/>
      <c r="E17" s="444"/>
      <c r="F17" s="444"/>
      <c r="G17" s="444"/>
      <c r="H17" s="444"/>
      <c r="I17" s="444"/>
      <c r="J17" s="445"/>
    </row>
    <row r="18" spans="2:10" ht="16.5" customHeight="1">
      <c r="B18" s="446" t="s">
        <v>411</v>
      </c>
      <c r="C18" s="447"/>
      <c r="D18" s="447"/>
      <c r="E18" s="447"/>
      <c r="F18" s="447"/>
      <c r="G18" s="447"/>
      <c r="H18" s="447"/>
      <c r="I18" s="447"/>
      <c r="J18" s="448"/>
    </row>
    <row r="19" spans="2:10" ht="16.5" customHeight="1">
      <c r="B19" s="449"/>
      <c r="C19" s="450"/>
      <c r="D19" s="450"/>
      <c r="E19" s="450"/>
      <c r="F19" s="450"/>
      <c r="G19" s="450"/>
      <c r="H19" s="450"/>
      <c r="I19" s="450"/>
      <c r="J19" s="451"/>
    </row>
    <row r="20" spans="2:10" ht="16.5" customHeight="1">
      <c r="B20" s="449"/>
      <c r="C20" s="450"/>
      <c r="D20" s="450"/>
      <c r="E20" s="450"/>
      <c r="F20" s="450"/>
      <c r="G20" s="450"/>
      <c r="H20" s="450"/>
      <c r="I20" s="450"/>
      <c r="J20" s="451"/>
    </row>
    <row r="21" spans="2:10" ht="16.5" customHeight="1">
      <c r="B21" s="449"/>
      <c r="C21" s="450"/>
      <c r="D21" s="450"/>
      <c r="E21" s="450"/>
      <c r="F21" s="450"/>
      <c r="G21" s="450"/>
      <c r="H21" s="450"/>
      <c r="I21" s="450"/>
      <c r="J21" s="451"/>
    </row>
    <row r="22" spans="2:10" ht="16.5" customHeight="1">
      <c r="B22" s="449"/>
      <c r="C22" s="450"/>
      <c r="D22" s="450"/>
      <c r="E22" s="450"/>
      <c r="F22" s="450"/>
      <c r="G22" s="450"/>
      <c r="H22" s="450"/>
      <c r="I22" s="450"/>
      <c r="J22" s="451"/>
    </row>
    <row r="23" spans="2:10" ht="16.5" customHeight="1">
      <c r="B23" s="449"/>
      <c r="C23" s="450"/>
      <c r="D23" s="450"/>
      <c r="E23" s="450"/>
      <c r="F23" s="450"/>
      <c r="G23" s="450"/>
      <c r="H23" s="450"/>
      <c r="I23" s="450"/>
      <c r="J23" s="451"/>
    </row>
    <row r="24" spans="2:10" ht="12.75">
      <c r="B24" s="449"/>
      <c r="C24" s="450"/>
      <c r="D24" s="450"/>
      <c r="E24" s="450"/>
      <c r="F24" s="450"/>
      <c r="G24" s="450"/>
      <c r="H24" s="450"/>
      <c r="I24" s="450"/>
      <c r="J24" s="451"/>
    </row>
    <row r="25" spans="2:10" ht="12.75">
      <c r="B25" s="449"/>
      <c r="C25" s="450"/>
      <c r="D25" s="450"/>
      <c r="E25" s="450"/>
      <c r="F25" s="450"/>
      <c r="G25" s="450"/>
      <c r="H25" s="450"/>
      <c r="I25" s="450"/>
      <c r="J25" s="451"/>
    </row>
    <row r="26" spans="2:10" ht="12.75">
      <c r="B26" s="449"/>
      <c r="C26" s="450"/>
      <c r="D26" s="450"/>
      <c r="E26" s="450"/>
      <c r="F26" s="450"/>
      <c r="G26" s="450"/>
      <c r="H26" s="450"/>
      <c r="I26" s="450"/>
      <c r="J26" s="451"/>
    </row>
    <row r="27" spans="2:10" ht="12.75">
      <c r="B27" s="449"/>
      <c r="C27" s="450"/>
      <c r="D27" s="450"/>
      <c r="E27" s="450"/>
      <c r="F27" s="450"/>
      <c r="G27" s="450"/>
      <c r="H27" s="450"/>
      <c r="I27" s="450"/>
      <c r="J27" s="451"/>
    </row>
    <row r="28" spans="2:10" ht="12.75">
      <c r="B28" s="449"/>
      <c r="C28" s="450"/>
      <c r="D28" s="450"/>
      <c r="E28" s="450"/>
      <c r="F28" s="450"/>
      <c r="G28" s="450"/>
      <c r="H28" s="450"/>
      <c r="I28" s="450"/>
      <c r="J28" s="451"/>
    </row>
    <row r="29" spans="2:10" ht="12.75">
      <c r="B29" s="449"/>
      <c r="C29" s="450"/>
      <c r="D29" s="450"/>
      <c r="E29" s="450"/>
      <c r="F29" s="450"/>
      <c r="G29" s="450"/>
      <c r="H29" s="450"/>
      <c r="I29" s="450"/>
      <c r="J29" s="451"/>
    </row>
    <row r="30" spans="2:10" ht="12.75">
      <c r="B30" s="449"/>
      <c r="C30" s="450"/>
      <c r="D30" s="450"/>
      <c r="E30" s="450"/>
      <c r="F30" s="450"/>
      <c r="G30" s="450"/>
      <c r="H30" s="450"/>
      <c r="I30" s="450"/>
      <c r="J30" s="451"/>
    </row>
    <row r="31" spans="2:10" ht="12.75">
      <c r="B31" s="449"/>
      <c r="C31" s="450"/>
      <c r="D31" s="450"/>
      <c r="E31" s="450"/>
      <c r="F31" s="450"/>
      <c r="G31" s="450"/>
      <c r="H31" s="450"/>
      <c r="I31" s="450"/>
      <c r="J31" s="451"/>
    </row>
    <row r="32" spans="2:10" ht="12.75">
      <c r="B32" s="449"/>
      <c r="C32" s="450"/>
      <c r="D32" s="450"/>
      <c r="E32" s="450"/>
      <c r="F32" s="450"/>
      <c r="G32" s="450"/>
      <c r="H32" s="450"/>
      <c r="I32" s="450"/>
      <c r="J32" s="451"/>
    </row>
    <row r="33" spans="2:10" ht="12.75">
      <c r="B33" s="449"/>
      <c r="C33" s="450"/>
      <c r="D33" s="450"/>
      <c r="E33" s="450"/>
      <c r="F33" s="450"/>
      <c r="G33" s="450"/>
      <c r="H33" s="450"/>
      <c r="I33" s="450"/>
      <c r="J33" s="451"/>
    </row>
    <row r="34" spans="2:10" ht="12.75">
      <c r="B34" s="449"/>
      <c r="C34" s="450"/>
      <c r="D34" s="450"/>
      <c r="E34" s="450"/>
      <c r="F34" s="450"/>
      <c r="G34" s="450"/>
      <c r="H34" s="450"/>
      <c r="I34" s="450"/>
      <c r="J34" s="451"/>
    </row>
    <row r="35" spans="2:10" ht="12.75">
      <c r="B35" s="449"/>
      <c r="C35" s="450"/>
      <c r="D35" s="450"/>
      <c r="E35" s="450"/>
      <c r="F35" s="450"/>
      <c r="G35" s="450"/>
      <c r="H35" s="450"/>
      <c r="I35" s="450"/>
      <c r="J35" s="451"/>
    </row>
    <row r="36" spans="2:10" ht="12.75">
      <c r="B36" s="449"/>
      <c r="C36" s="450"/>
      <c r="D36" s="450"/>
      <c r="E36" s="450"/>
      <c r="F36" s="450"/>
      <c r="G36" s="450"/>
      <c r="H36" s="450"/>
      <c r="I36" s="450"/>
      <c r="J36" s="451"/>
    </row>
    <row r="37" spans="2:10" ht="12.75">
      <c r="B37" s="449"/>
      <c r="C37" s="450"/>
      <c r="D37" s="450"/>
      <c r="E37" s="450"/>
      <c r="F37" s="450"/>
      <c r="G37" s="450"/>
      <c r="H37" s="450"/>
      <c r="I37" s="450"/>
      <c r="J37" s="451"/>
    </row>
    <row r="38" spans="2:10" ht="12.75">
      <c r="B38" s="449"/>
      <c r="C38" s="450"/>
      <c r="D38" s="450"/>
      <c r="E38" s="450"/>
      <c r="F38" s="450"/>
      <c r="G38" s="450"/>
      <c r="H38" s="450"/>
      <c r="I38" s="450"/>
      <c r="J38" s="451"/>
    </row>
    <row r="39" spans="2:10" ht="12.75">
      <c r="B39" s="449"/>
      <c r="C39" s="450"/>
      <c r="D39" s="450"/>
      <c r="E39" s="450"/>
      <c r="F39" s="450"/>
      <c r="G39" s="450"/>
      <c r="H39" s="450"/>
      <c r="I39" s="450"/>
      <c r="J39" s="451"/>
    </row>
    <row r="40" spans="2:10" ht="12.75">
      <c r="B40" s="449"/>
      <c r="C40" s="450"/>
      <c r="D40" s="450"/>
      <c r="E40" s="450"/>
      <c r="F40" s="450"/>
      <c r="G40" s="450"/>
      <c r="H40" s="450"/>
      <c r="I40" s="450"/>
      <c r="J40" s="451"/>
    </row>
    <row r="41" spans="2:10" ht="12.75">
      <c r="B41" s="449"/>
      <c r="C41" s="450"/>
      <c r="D41" s="450"/>
      <c r="E41" s="450"/>
      <c r="F41" s="450"/>
      <c r="G41" s="450"/>
      <c r="H41" s="450"/>
      <c r="I41" s="450"/>
      <c r="J41" s="451"/>
    </row>
    <row r="42" spans="2:10" ht="12.75">
      <c r="B42" s="449"/>
      <c r="C42" s="450"/>
      <c r="D42" s="450"/>
      <c r="E42" s="450"/>
      <c r="F42" s="450"/>
      <c r="G42" s="450"/>
      <c r="H42" s="450"/>
      <c r="I42" s="450"/>
      <c r="J42" s="451"/>
    </row>
    <row r="43" spans="2:10" ht="12.75">
      <c r="B43" s="449"/>
      <c r="C43" s="450"/>
      <c r="D43" s="450"/>
      <c r="E43" s="450"/>
      <c r="F43" s="450"/>
      <c r="G43" s="450"/>
      <c r="H43" s="450"/>
      <c r="I43" s="450"/>
      <c r="J43" s="451"/>
    </row>
    <row r="44" spans="2:10" ht="12.75">
      <c r="B44" s="449"/>
      <c r="C44" s="450"/>
      <c r="D44" s="450"/>
      <c r="E44" s="450"/>
      <c r="F44" s="450"/>
      <c r="G44" s="450"/>
      <c r="H44" s="450"/>
      <c r="I44" s="450"/>
      <c r="J44" s="451"/>
    </row>
    <row r="45" spans="2:10" ht="12.75">
      <c r="B45" s="449"/>
      <c r="C45" s="450"/>
      <c r="D45" s="450"/>
      <c r="E45" s="450"/>
      <c r="F45" s="450"/>
      <c r="G45" s="450"/>
      <c r="H45" s="450"/>
      <c r="I45" s="450"/>
      <c r="J45" s="451"/>
    </row>
    <row r="46" spans="2:10" ht="12.75">
      <c r="B46" s="449"/>
      <c r="C46" s="450"/>
      <c r="D46" s="450"/>
      <c r="E46" s="450"/>
      <c r="F46" s="450"/>
      <c r="G46" s="450"/>
      <c r="H46" s="450"/>
      <c r="I46" s="450"/>
      <c r="J46" s="451"/>
    </row>
    <row r="47" spans="2:10" ht="12.75">
      <c r="B47" s="449"/>
      <c r="C47" s="450"/>
      <c r="D47" s="450"/>
      <c r="E47" s="450"/>
      <c r="F47" s="450"/>
      <c r="G47" s="450"/>
      <c r="H47" s="450"/>
      <c r="I47" s="450"/>
      <c r="J47" s="451"/>
    </row>
    <row r="48" spans="2:10" ht="12.75">
      <c r="B48" s="452"/>
      <c r="C48" s="453"/>
      <c r="D48" s="453"/>
      <c r="E48" s="453"/>
      <c r="F48" s="453"/>
      <c r="G48" s="453"/>
      <c r="H48" s="453"/>
      <c r="I48" s="453"/>
      <c r="J48" s="454"/>
    </row>
    <row r="49" spans="2:11" ht="16.5">
      <c r="B49" s="14"/>
      <c r="K49" s="127" t="s">
        <v>273</v>
      </c>
    </row>
    <row r="50" ht="16.5" hidden="1">
      <c r="B50" s="15"/>
    </row>
  </sheetData>
  <sheetProtection password="C02B" sheet="1" objects="1" scenarios="1"/>
  <mergeCells count="3">
    <mergeCell ref="B2:J2"/>
    <mergeCell ref="B17:J17"/>
    <mergeCell ref="B18:J48"/>
  </mergeCells>
  <hyperlinks>
    <hyperlink ref="K49" location="Início!a13" display="Início!a13"/>
  </hyperlink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workbookViewId="0" topLeftCell="A22">
      <selection activeCell="K50" sqref="K50"/>
    </sheetView>
  </sheetViews>
  <sheetFormatPr defaultColWidth="9.140625" defaultRowHeight="12.75" zeroHeight="1"/>
  <cols>
    <col min="1" max="1" width="7.421875" style="0" customWidth="1"/>
    <col min="2" max="2" width="3.7109375" style="0" customWidth="1"/>
    <col min="10" max="10" width="10.28125" style="0" customWidth="1"/>
    <col min="12" max="16384" width="9.140625" style="0" hidden="1" customWidth="1"/>
  </cols>
  <sheetData>
    <row r="1" spans="2:6" ht="18">
      <c r="B1" s="17"/>
      <c r="C1" s="11"/>
      <c r="D1" s="11"/>
      <c r="E1" s="11"/>
      <c r="F1" s="11"/>
    </row>
    <row r="2" spans="1:10" ht="18">
      <c r="A2" s="126"/>
      <c r="B2" s="440" t="s">
        <v>347</v>
      </c>
      <c r="C2" s="441"/>
      <c r="D2" s="441"/>
      <c r="E2" s="441"/>
      <c r="F2" s="441"/>
      <c r="G2" s="441"/>
      <c r="H2" s="441"/>
      <c r="I2" s="441"/>
      <c r="J2" s="442"/>
    </row>
    <row r="3" spans="1:10" ht="14.25">
      <c r="A3" s="126"/>
      <c r="B3" s="137" t="s">
        <v>276</v>
      </c>
      <c r="C3" s="138"/>
      <c r="D3" s="134"/>
      <c r="E3" s="134"/>
      <c r="F3" s="134"/>
      <c r="G3" s="134"/>
      <c r="H3" s="134"/>
      <c r="I3" s="134"/>
      <c r="J3" s="139"/>
    </row>
    <row r="4" spans="1:10" ht="14.25">
      <c r="A4" s="126"/>
      <c r="B4" s="136"/>
      <c r="C4" s="136" t="s">
        <v>313</v>
      </c>
      <c r="D4" s="134"/>
      <c r="E4" s="134"/>
      <c r="F4" s="134"/>
      <c r="G4" s="134"/>
      <c r="H4" s="134"/>
      <c r="I4" s="134"/>
      <c r="J4" s="139"/>
    </row>
    <row r="5" spans="1:10" ht="14.25">
      <c r="A5" s="126"/>
      <c r="B5" s="136"/>
      <c r="C5" s="136" t="s">
        <v>314</v>
      </c>
      <c r="D5" s="134"/>
      <c r="E5" s="134"/>
      <c r="F5" s="134"/>
      <c r="G5" s="134"/>
      <c r="H5" s="134"/>
      <c r="I5" s="134"/>
      <c r="J5" s="139"/>
    </row>
    <row r="6" spans="1:10" ht="14.25">
      <c r="A6" s="126"/>
      <c r="B6" s="136"/>
      <c r="C6" s="136"/>
      <c r="D6" s="134"/>
      <c r="E6" s="134"/>
      <c r="F6" s="134"/>
      <c r="G6" s="134"/>
      <c r="H6" s="134"/>
      <c r="I6" s="134"/>
      <c r="J6" s="139"/>
    </row>
    <row r="7" spans="1:10" ht="14.25">
      <c r="A7" s="126"/>
      <c r="B7" s="140" t="s">
        <v>310</v>
      </c>
      <c r="C7" s="136"/>
      <c r="D7" s="134"/>
      <c r="E7" s="134"/>
      <c r="F7" s="134"/>
      <c r="G7" s="134"/>
      <c r="H7" s="134"/>
      <c r="I7" s="134"/>
      <c r="J7" s="139"/>
    </row>
    <row r="8" spans="1:10" ht="14.25">
      <c r="A8" s="126"/>
      <c r="B8" s="136"/>
      <c r="C8" s="135" t="s">
        <v>293</v>
      </c>
      <c r="D8" s="134"/>
      <c r="E8" s="134"/>
      <c r="F8" s="134"/>
      <c r="G8" s="134"/>
      <c r="H8" s="134"/>
      <c r="I8" s="134"/>
      <c r="J8" s="139"/>
    </row>
    <row r="9" spans="1:10" ht="14.25">
      <c r="A9" s="126"/>
      <c r="B9" s="136"/>
      <c r="C9" s="135" t="s">
        <v>286</v>
      </c>
      <c r="D9" s="134"/>
      <c r="E9" s="134"/>
      <c r="F9" s="134"/>
      <c r="G9" s="134"/>
      <c r="H9" s="134"/>
      <c r="I9" s="134"/>
      <c r="J9" s="139"/>
    </row>
    <row r="10" spans="1:10" ht="14.25">
      <c r="A10" s="126"/>
      <c r="B10" s="136"/>
      <c r="C10" s="135" t="s">
        <v>287</v>
      </c>
      <c r="D10" s="134"/>
      <c r="E10" s="134"/>
      <c r="F10" s="134"/>
      <c r="G10" s="134"/>
      <c r="H10" s="134"/>
      <c r="I10" s="134"/>
      <c r="J10" s="139"/>
    </row>
    <row r="11" spans="1:10" ht="14.25">
      <c r="A11" s="126"/>
      <c r="B11" s="136"/>
      <c r="C11" s="135" t="s">
        <v>288</v>
      </c>
      <c r="D11" s="134"/>
      <c r="E11" s="134"/>
      <c r="F11" s="134"/>
      <c r="G11" s="134"/>
      <c r="H11" s="134"/>
      <c r="I11" s="134"/>
      <c r="J11" s="139"/>
    </row>
    <row r="12" spans="1:10" ht="14.25">
      <c r="A12" s="126"/>
      <c r="B12" s="136"/>
      <c r="C12" s="135" t="s">
        <v>289</v>
      </c>
      <c r="D12" s="134"/>
      <c r="E12" s="134"/>
      <c r="F12" s="134"/>
      <c r="G12" s="134"/>
      <c r="H12" s="134"/>
      <c r="I12" s="134"/>
      <c r="J12" s="139"/>
    </row>
    <row r="13" spans="1:10" ht="14.25">
      <c r="A13" s="126"/>
      <c r="B13" s="136"/>
      <c r="C13" s="135" t="s">
        <v>290</v>
      </c>
      <c r="D13" s="134"/>
      <c r="E13" s="134"/>
      <c r="F13" s="134"/>
      <c r="G13" s="134"/>
      <c r="H13" s="134"/>
      <c r="I13" s="134"/>
      <c r="J13" s="139"/>
    </row>
    <row r="14" spans="1:10" ht="14.25">
      <c r="A14" s="126"/>
      <c r="B14" s="136"/>
      <c r="C14" s="135" t="s">
        <v>291</v>
      </c>
      <c r="D14" s="134"/>
      <c r="E14" s="134"/>
      <c r="F14" s="134"/>
      <c r="G14" s="134"/>
      <c r="H14" s="134"/>
      <c r="I14" s="134"/>
      <c r="J14" s="139"/>
    </row>
    <row r="15" spans="1:10" ht="14.25">
      <c r="A15" s="126"/>
      <c r="B15" s="136"/>
      <c r="C15" s="136"/>
      <c r="D15" s="134"/>
      <c r="E15" s="134"/>
      <c r="F15" s="134"/>
      <c r="G15" s="134"/>
      <c r="H15" s="134"/>
      <c r="I15" s="134"/>
      <c r="J15" s="139"/>
    </row>
    <row r="16" spans="1:10" ht="14.25">
      <c r="A16" s="126"/>
      <c r="B16" s="136"/>
      <c r="C16" s="135" t="s">
        <v>292</v>
      </c>
      <c r="D16" s="134"/>
      <c r="E16" s="134"/>
      <c r="F16" s="134"/>
      <c r="G16" s="134"/>
      <c r="H16" s="134"/>
      <c r="I16" s="134"/>
      <c r="J16" s="139"/>
    </row>
    <row r="17" spans="1:10" ht="14.25">
      <c r="A17" s="126"/>
      <c r="B17" s="136"/>
      <c r="C17" s="136"/>
      <c r="D17" s="134"/>
      <c r="E17" s="134"/>
      <c r="F17" s="134"/>
      <c r="G17" s="134"/>
      <c r="H17" s="134"/>
      <c r="I17" s="134"/>
      <c r="J17" s="139"/>
    </row>
    <row r="18" spans="2:10" ht="12.75">
      <c r="B18" s="443" t="s">
        <v>315</v>
      </c>
      <c r="C18" s="444"/>
      <c r="D18" s="444"/>
      <c r="E18" s="444"/>
      <c r="F18" s="444"/>
      <c r="G18" s="444"/>
      <c r="H18" s="444"/>
      <c r="I18" s="444"/>
      <c r="J18" s="445"/>
    </row>
    <row r="19" spans="2:10" ht="16.5" customHeight="1">
      <c r="B19" s="446"/>
      <c r="C19" s="447"/>
      <c r="D19" s="447"/>
      <c r="E19" s="447"/>
      <c r="F19" s="447"/>
      <c r="G19" s="447"/>
      <c r="H19" s="447"/>
      <c r="I19" s="447"/>
      <c r="J19" s="448"/>
    </row>
    <row r="20" spans="2:10" ht="16.5" customHeight="1">
      <c r="B20" s="449"/>
      <c r="C20" s="450"/>
      <c r="D20" s="450"/>
      <c r="E20" s="450"/>
      <c r="F20" s="450"/>
      <c r="G20" s="450"/>
      <c r="H20" s="450"/>
      <c r="I20" s="450"/>
      <c r="J20" s="451"/>
    </row>
    <row r="21" spans="2:10" ht="16.5" customHeight="1">
      <c r="B21" s="449"/>
      <c r="C21" s="450"/>
      <c r="D21" s="450"/>
      <c r="E21" s="450"/>
      <c r="F21" s="450"/>
      <c r="G21" s="450"/>
      <c r="H21" s="450"/>
      <c r="I21" s="450"/>
      <c r="J21" s="451"/>
    </row>
    <row r="22" spans="2:10" ht="16.5" customHeight="1">
      <c r="B22" s="449"/>
      <c r="C22" s="450"/>
      <c r="D22" s="450"/>
      <c r="E22" s="450"/>
      <c r="F22" s="450"/>
      <c r="G22" s="450"/>
      <c r="H22" s="450"/>
      <c r="I22" s="450"/>
      <c r="J22" s="451"/>
    </row>
    <row r="23" spans="2:10" ht="16.5" customHeight="1">
      <c r="B23" s="449"/>
      <c r="C23" s="450"/>
      <c r="D23" s="450"/>
      <c r="E23" s="450"/>
      <c r="F23" s="450"/>
      <c r="G23" s="450"/>
      <c r="H23" s="450"/>
      <c r="I23" s="450"/>
      <c r="J23" s="451"/>
    </row>
    <row r="24" spans="2:10" ht="16.5" customHeight="1">
      <c r="B24" s="449"/>
      <c r="C24" s="450"/>
      <c r="D24" s="450"/>
      <c r="E24" s="450"/>
      <c r="F24" s="450"/>
      <c r="G24" s="450"/>
      <c r="H24" s="450"/>
      <c r="I24" s="450"/>
      <c r="J24" s="451"/>
    </row>
    <row r="25" spans="2:10" ht="12.75">
      <c r="B25" s="449"/>
      <c r="C25" s="450"/>
      <c r="D25" s="450"/>
      <c r="E25" s="450"/>
      <c r="F25" s="450"/>
      <c r="G25" s="450"/>
      <c r="H25" s="450"/>
      <c r="I25" s="450"/>
      <c r="J25" s="451"/>
    </row>
    <row r="26" spans="2:10" ht="12.75">
      <c r="B26" s="449"/>
      <c r="C26" s="450"/>
      <c r="D26" s="450"/>
      <c r="E26" s="450"/>
      <c r="F26" s="450"/>
      <c r="G26" s="450"/>
      <c r="H26" s="450"/>
      <c r="I26" s="450"/>
      <c r="J26" s="451"/>
    </row>
    <row r="27" spans="2:10" ht="12.75">
      <c r="B27" s="449"/>
      <c r="C27" s="450"/>
      <c r="D27" s="450"/>
      <c r="E27" s="450"/>
      <c r="F27" s="450"/>
      <c r="G27" s="450"/>
      <c r="H27" s="450"/>
      <c r="I27" s="450"/>
      <c r="J27" s="451"/>
    </row>
    <row r="28" spans="2:10" ht="12.75">
      <c r="B28" s="449"/>
      <c r="C28" s="450"/>
      <c r="D28" s="450"/>
      <c r="E28" s="450"/>
      <c r="F28" s="450"/>
      <c r="G28" s="450"/>
      <c r="H28" s="450"/>
      <c r="I28" s="450"/>
      <c r="J28" s="451"/>
    </row>
    <row r="29" spans="2:10" ht="12.75">
      <c r="B29" s="449"/>
      <c r="C29" s="450"/>
      <c r="D29" s="450"/>
      <c r="E29" s="450"/>
      <c r="F29" s="450"/>
      <c r="G29" s="450"/>
      <c r="H29" s="450"/>
      <c r="I29" s="450"/>
      <c r="J29" s="451"/>
    </row>
    <row r="30" spans="2:10" ht="12.75">
      <c r="B30" s="449"/>
      <c r="C30" s="450"/>
      <c r="D30" s="450"/>
      <c r="E30" s="450"/>
      <c r="F30" s="450"/>
      <c r="G30" s="450"/>
      <c r="H30" s="450"/>
      <c r="I30" s="450"/>
      <c r="J30" s="451"/>
    </row>
    <row r="31" spans="2:10" ht="12.75">
      <c r="B31" s="449"/>
      <c r="C31" s="450"/>
      <c r="D31" s="450"/>
      <c r="E31" s="450"/>
      <c r="F31" s="450"/>
      <c r="G31" s="450"/>
      <c r="H31" s="450"/>
      <c r="I31" s="450"/>
      <c r="J31" s="451"/>
    </row>
    <row r="32" spans="2:10" ht="12.75">
      <c r="B32" s="449"/>
      <c r="C32" s="450"/>
      <c r="D32" s="450"/>
      <c r="E32" s="450"/>
      <c r="F32" s="450"/>
      <c r="G32" s="450"/>
      <c r="H32" s="450"/>
      <c r="I32" s="450"/>
      <c r="J32" s="451"/>
    </row>
    <row r="33" spans="2:10" ht="12.75">
      <c r="B33" s="449"/>
      <c r="C33" s="450"/>
      <c r="D33" s="450"/>
      <c r="E33" s="450"/>
      <c r="F33" s="450"/>
      <c r="G33" s="450"/>
      <c r="H33" s="450"/>
      <c r="I33" s="450"/>
      <c r="J33" s="451"/>
    </row>
    <row r="34" spans="2:10" ht="12.75">
      <c r="B34" s="449"/>
      <c r="C34" s="450"/>
      <c r="D34" s="450"/>
      <c r="E34" s="450"/>
      <c r="F34" s="450"/>
      <c r="G34" s="450"/>
      <c r="H34" s="450"/>
      <c r="I34" s="450"/>
      <c r="J34" s="451"/>
    </row>
    <row r="35" spans="2:10" ht="12.75">
      <c r="B35" s="449"/>
      <c r="C35" s="450"/>
      <c r="D35" s="450"/>
      <c r="E35" s="450"/>
      <c r="F35" s="450"/>
      <c r="G35" s="450"/>
      <c r="H35" s="450"/>
      <c r="I35" s="450"/>
      <c r="J35" s="451"/>
    </row>
    <row r="36" spans="2:10" ht="12.75">
      <c r="B36" s="449"/>
      <c r="C36" s="450"/>
      <c r="D36" s="450"/>
      <c r="E36" s="450"/>
      <c r="F36" s="450"/>
      <c r="G36" s="450"/>
      <c r="H36" s="450"/>
      <c r="I36" s="450"/>
      <c r="J36" s="451"/>
    </row>
    <row r="37" spans="2:10" ht="12.75">
      <c r="B37" s="449"/>
      <c r="C37" s="450"/>
      <c r="D37" s="450"/>
      <c r="E37" s="450"/>
      <c r="F37" s="450"/>
      <c r="G37" s="450"/>
      <c r="H37" s="450"/>
      <c r="I37" s="450"/>
      <c r="J37" s="451"/>
    </row>
    <row r="38" spans="2:10" ht="12.75">
      <c r="B38" s="449"/>
      <c r="C38" s="450"/>
      <c r="D38" s="450"/>
      <c r="E38" s="450"/>
      <c r="F38" s="450"/>
      <c r="G38" s="450"/>
      <c r="H38" s="450"/>
      <c r="I38" s="450"/>
      <c r="J38" s="451"/>
    </row>
    <row r="39" spans="2:10" ht="12.75">
      <c r="B39" s="449"/>
      <c r="C39" s="450"/>
      <c r="D39" s="450"/>
      <c r="E39" s="450"/>
      <c r="F39" s="450"/>
      <c r="G39" s="450"/>
      <c r="H39" s="450"/>
      <c r="I39" s="450"/>
      <c r="J39" s="451"/>
    </row>
    <row r="40" spans="2:10" ht="12.75">
      <c r="B40" s="449"/>
      <c r="C40" s="450"/>
      <c r="D40" s="450"/>
      <c r="E40" s="450"/>
      <c r="F40" s="450"/>
      <c r="G40" s="450"/>
      <c r="H40" s="450"/>
      <c r="I40" s="450"/>
      <c r="J40" s="451"/>
    </row>
    <row r="41" spans="2:10" ht="12.75">
      <c r="B41" s="449"/>
      <c r="C41" s="450"/>
      <c r="D41" s="450"/>
      <c r="E41" s="450"/>
      <c r="F41" s="450"/>
      <c r="G41" s="450"/>
      <c r="H41" s="450"/>
      <c r="I41" s="450"/>
      <c r="J41" s="451"/>
    </row>
    <row r="42" spans="2:10" ht="12.75">
      <c r="B42" s="449"/>
      <c r="C42" s="450"/>
      <c r="D42" s="450"/>
      <c r="E42" s="450"/>
      <c r="F42" s="450"/>
      <c r="G42" s="450"/>
      <c r="H42" s="450"/>
      <c r="I42" s="450"/>
      <c r="J42" s="451"/>
    </row>
    <row r="43" spans="2:10" ht="12.75">
      <c r="B43" s="449"/>
      <c r="C43" s="450"/>
      <c r="D43" s="450"/>
      <c r="E43" s="450"/>
      <c r="F43" s="450"/>
      <c r="G43" s="450"/>
      <c r="H43" s="450"/>
      <c r="I43" s="450"/>
      <c r="J43" s="451"/>
    </row>
    <row r="44" spans="2:10" ht="12.75">
      <c r="B44" s="449"/>
      <c r="C44" s="450"/>
      <c r="D44" s="450"/>
      <c r="E44" s="450"/>
      <c r="F44" s="450"/>
      <c r="G44" s="450"/>
      <c r="H44" s="450"/>
      <c r="I44" s="450"/>
      <c r="J44" s="451"/>
    </row>
    <row r="45" spans="2:10" ht="12.75">
      <c r="B45" s="449"/>
      <c r="C45" s="450"/>
      <c r="D45" s="450"/>
      <c r="E45" s="450"/>
      <c r="F45" s="450"/>
      <c r="G45" s="450"/>
      <c r="H45" s="450"/>
      <c r="I45" s="450"/>
      <c r="J45" s="451"/>
    </row>
    <row r="46" spans="2:10" ht="12.75">
      <c r="B46" s="449"/>
      <c r="C46" s="450"/>
      <c r="D46" s="450"/>
      <c r="E46" s="450"/>
      <c r="F46" s="450"/>
      <c r="G46" s="450"/>
      <c r="H46" s="450"/>
      <c r="I46" s="450"/>
      <c r="J46" s="451"/>
    </row>
    <row r="47" spans="2:10" ht="12.75">
      <c r="B47" s="449"/>
      <c r="C47" s="450"/>
      <c r="D47" s="450"/>
      <c r="E47" s="450"/>
      <c r="F47" s="450"/>
      <c r="G47" s="450"/>
      <c r="H47" s="450"/>
      <c r="I47" s="450"/>
      <c r="J47" s="451"/>
    </row>
    <row r="48" spans="2:10" ht="12.75">
      <c r="B48" s="449"/>
      <c r="C48" s="450"/>
      <c r="D48" s="450"/>
      <c r="E48" s="450"/>
      <c r="F48" s="450"/>
      <c r="G48" s="450"/>
      <c r="H48" s="450"/>
      <c r="I48" s="450"/>
      <c r="J48" s="451"/>
    </row>
    <row r="49" spans="2:10" ht="12.75">
      <c r="B49" s="452"/>
      <c r="C49" s="453"/>
      <c r="D49" s="453"/>
      <c r="E49" s="453"/>
      <c r="F49" s="453"/>
      <c r="G49" s="453"/>
      <c r="H49" s="453"/>
      <c r="I49" s="453"/>
      <c r="J49" s="454"/>
    </row>
    <row r="50" spans="2:11" ht="16.5">
      <c r="B50" s="14"/>
      <c r="K50" s="127" t="s">
        <v>273</v>
      </c>
    </row>
    <row r="51" ht="16.5" hidden="1">
      <c r="B51" s="15"/>
    </row>
  </sheetData>
  <sheetProtection password="C02B" sheet="1" objects="1" scenarios="1"/>
  <mergeCells count="3">
    <mergeCell ref="B2:J2"/>
    <mergeCell ref="B18:J18"/>
    <mergeCell ref="B19:J49"/>
  </mergeCells>
  <hyperlinks>
    <hyperlink ref="K50" location="Início!a14" display="Início!a14"/>
  </hyperlink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workbookViewId="0" topLeftCell="A20">
      <selection activeCell="K50" sqref="K50"/>
    </sheetView>
  </sheetViews>
  <sheetFormatPr defaultColWidth="9.140625" defaultRowHeight="12.75" zeroHeight="1"/>
  <cols>
    <col min="1" max="1" width="7.421875" style="0" customWidth="1"/>
    <col min="2" max="2" width="3.7109375" style="0" customWidth="1"/>
    <col min="10" max="10" width="10.28125" style="0" customWidth="1"/>
    <col min="12" max="16384" width="9.140625" style="0" hidden="1" customWidth="1"/>
  </cols>
  <sheetData>
    <row r="1" spans="2:6" ht="18">
      <c r="B1" s="17"/>
      <c r="C1" s="11"/>
      <c r="D1" s="11"/>
      <c r="E1" s="11"/>
      <c r="F1" s="11"/>
    </row>
    <row r="2" spans="1:10" ht="18">
      <c r="A2" s="126"/>
      <c r="B2" s="440" t="s">
        <v>348</v>
      </c>
      <c r="C2" s="441"/>
      <c r="D2" s="441"/>
      <c r="E2" s="441"/>
      <c r="F2" s="441"/>
      <c r="G2" s="441"/>
      <c r="H2" s="441"/>
      <c r="I2" s="441"/>
      <c r="J2" s="442"/>
    </row>
    <row r="3" spans="1:10" ht="14.25">
      <c r="A3" s="126"/>
      <c r="B3" s="137" t="s">
        <v>276</v>
      </c>
      <c r="C3" s="138"/>
      <c r="D3" s="134"/>
      <c r="E3" s="134"/>
      <c r="F3" s="134"/>
      <c r="G3" s="134"/>
      <c r="H3" s="134"/>
      <c r="I3" s="134"/>
      <c r="J3" s="139"/>
    </row>
    <row r="4" spans="1:10" ht="14.25">
      <c r="A4" s="126"/>
      <c r="B4" s="136"/>
      <c r="C4" s="135" t="s">
        <v>295</v>
      </c>
      <c r="D4" s="134"/>
      <c r="E4" s="134"/>
      <c r="F4" s="134"/>
      <c r="G4" s="134"/>
      <c r="H4" s="134"/>
      <c r="I4" s="134"/>
      <c r="J4" s="139"/>
    </row>
    <row r="5" spans="1:10" ht="14.25">
      <c r="A5" s="126"/>
      <c r="B5" s="136"/>
      <c r="C5" s="135" t="s">
        <v>296</v>
      </c>
      <c r="D5" s="134"/>
      <c r="E5" s="134"/>
      <c r="F5" s="134"/>
      <c r="G5" s="134"/>
      <c r="H5" s="134"/>
      <c r="I5" s="134"/>
      <c r="J5" s="139"/>
    </row>
    <row r="6" spans="1:10" ht="14.25">
      <c r="A6" s="126"/>
      <c r="B6" s="136"/>
      <c r="C6" s="136"/>
      <c r="D6" s="134"/>
      <c r="E6" s="134"/>
      <c r="F6" s="134"/>
      <c r="G6" s="134"/>
      <c r="H6" s="134"/>
      <c r="I6" s="134"/>
      <c r="J6" s="139"/>
    </row>
    <row r="7" spans="1:10" ht="14.25">
      <c r="A7" s="126"/>
      <c r="B7" s="140" t="s">
        <v>310</v>
      </c>
      <c r="C7" s="136"/>
      <c r="D7" s="134"/>
      <c r="E7" s="134"/>
      <c r="F7" s="134"/>
      <c r="G7" s="134"/>
      <c r="H7" s="134"/>
      <c r="I7" s="134"/>
      <c r="J7" s="139"/>
    </row>
    <row r="8" spans="1:10" ht="14.25">
      <c r="A8" s="126"/>
      <c r="B8" s="136"/>
      <c r="C8" s="135" t="s">
        <v>299</v>
      </c>
      <c r="D8" s="134"/>
      <c r="E8" s="134"/>
      <c r="F8" s="134"/>
      <c r="G8" s="134"/>
      <c r="H8" s="134"/>
      <c r="I8" s="134"/>
      <c r="J8" s="139"/>
    </row>
    <row r="9" spans="1:10" ht="14.25">
      <c r="A9" s="126"/>
      <c r="B9" s="136"/>
      <c r="C9" s="135" t="s">
        <v>297</v>
      </c>
      <c r="D9" s="134"/>
      <c r="E9" s="134"/>
      <c r="F9" s="134"/>
      <c r="G9" s="134"/>
      <c r="H9" s="134"/>
      <c r="I9" s="134"/>
      <c r="J9" s="139"/>
    </row>
    <row r="10" spans="1:10" ht="14.25">
      <c r="A10" s="126"/>
      <c r="B10" s="136"/>
      <c r="C10" s="135" t="s">
        <v>298</v>
      </c>
      <c r="D10" s="134"/>
      <c r="E10" s="134"/>
      <c r="F10" s="134"/>
      <c r="G10" s="134"/>
      <c r="H10" s="134"/>
      <c r="I10" s="134"/>
      <c r="J10" s="139"/>
    </row>
    <row r="11" spans="1:10" ht="14.25">
      <c r="A11" s="126"/>
      <c r="B11" s="136"/>
      <c r="C11" s="135" t="s">
        <v>302</v>
      </c>
      <c r="D11" s="134"/>
      <c r="E11" s="134"/>
      <c r="F11" s="134"/>
      <c r="G11" s="134"/>
      <c r="H11" s="134"/>
      <c r="I11" s="134"/>
      <c r="J11" s="139"/>
    </row>
    <row r="12" spans="1:10" ht="14.25">
      <c r="A12" s="126"/>
      <c r="B12" s="136"/>
      <c r="C12" s="135" t="s">
        <v>303</v>
      </c>
      <c r="D12" s="134"/>
      <c r="E12" s="134"/>
      <c r="F12" s="134"/>
      <c r="G12" s="134"/>
      <c r="H12" s="134"/>
      <c r="I12" s="134"/>
      <c r="J12" s="139"/>
    </row>
    <row r="13" spans="1:10" ht="14.25">
      <c r="A13" s="126"/>
      <c r="B13" s="136"/>
      <c r="C13" s="135" t="s">
        <v>304</v>
      </c>
      <c r="D13" s="134"/>
      <c r="E13" s="134"/>
      <c r="F13" s="134"/>
      <c r="G13" s="134"/>
      <c r="H13" s="134"/>
      <c r="I13" s="134"/>
      <c r="J13" s="139"/>
    </row>
    <row r="14" spans="1:10" ht="14.25">
      <c r="A14" s="126"/>
      <c r="B14" s="136"/>
      <c r="C14" s="135" t="s">
        <v>303</v>
      </c>
      <c r="D14" s="134"/>
      <c r="E14" s="134"/>
      <c r="F14" s="134"/>
      <c r="G14" s="134"/>
      <c r="H14" s="134"/>
      <c r="I14" s="134"/>
      <c r="J14" s="139"/>
    </row>
    <row r="15" spans="1:10" ht="14.25">
      <c r="A15" s="126"/>
      <c r="B15" s="136"/>
      <c r="C15" s="135"/>
      <c r="D15" s="134"/>
      <c r="E15" s="134"/>
      <c r="F15" s="134"/>
      <c r="G15" s="134"/>
      <c r="H15" s="134"/>
      <c r="I15" s="134"/>
      <c r="J15" s="139"/>
    </row>
    <row r="16" spans="1:10" ht="14.25">
      <c r="A16" s="126"/>
      <c r="B16" s="136"/>
      <c r="C16" s="135" t="s">
        <v>300</v>
      </c>
      <c r="D16" s="134"/>
      <c r="E16" s="134"/>
      <c r="F16" s="134"/>
      <c r="G16" s="134"/>
      <c r="H16" s="134"/>
      <c r="I16" s="134"/>
      <c r="J16" s="139"/>
    </row>
    <row r="17" spans="1:10" ht="14.25">
      <c r="A17" s="126"/>
      <c r="B17" s="136"/>
      <c r="C17" s="135" t="s">
        <v>301</v>
      </c>
      <c r="D17" s="134"/>
      <c r="E17" s="134"/>
      <c r="F17" s="134"/>
      <c r="G17" s="134"/>
      <c r="H17" s="134"/>
      <c r="I17" s="134"/>
      <c r="J17" s="139"/>
    </row>
    <row r="18" spans="2:10" ht="12.75">
      <c r="B18" s="443" t="s">
        <v>316</v>
      </c>
      <c r="C18" s="444"/>
      <c r="D18" s="444"/>
      <c r="E18" s="444"/>
      <c r="F18" s="444"/>
      <c r="G18" s="444"/>
      <c r="H18" s="444"/>
      <c r="I18" s="444"/>
      <c r="J18" s="445"/>
    </row>
    <row r="19" spans="2:10" ht="16.5" customHeight="1">
      <c r="B19" s="446"/>
      <c r="C19" s="447"/>
      <c r="D19" s="447"/>
      <c r="E19" s="447"/>
      <c r="F19" s="447"/>
      <c r="G19" s="447"/>
      <c r="H19" s="447"/>
      <c r="I19" s="447"/>
      <c r="J19" s="448"/>
    </row>
    <row r="20" spans="2:10" ht="16.5" customHeight="1">
      <c r="B20" s="449"/>
      <c r="C20" s="450"/>
      <c r="D20" s="450"/>
      <c r="E20" s="450"/>
      <c r="F20" s="450"/>
      <c r="G20" s="450"/>
      <c r="H20" s="450"/>
      <c r="I20" s="450"/>
      <c r="J20" s="451"/>
    </row>
    <row r="21" spans="2:10" ht="16.5" customHeight="1">
      <c r="B21" s="449"/>
      <c r="C21" s="450"/>
      <c r="D21" s="450"/>
      <c r="E21" s="450"/>
      <c r="F21" s="450"/>
      <c r="G21" s="450"/>
      <c r="H21" s="450"/>
      <c r="I21" s="450"/>
      <c r="J21" s="451"/>
    </row>
    <row r="22" spans="2:10" ht="16.5" customHeight="1">
      <c r="B22" s="449"/>
      <c r="C22" s="450"/>
      <c r="D22" s="450"/>
      <c r="E22" s="450"/>
      <c r="F22" s="450"/>
      <c r="G22" s="450"/>
      <c r="H22" s="450"/>
      <c r="I22" s="450"/>
      <c r="J22" s="451"/>
    </row>
    <row r="23" spans="2:10" ht="16.5" customHeight="1">
      <c r="B23" s="449"/>
      <c r="C23" s="450"/>
      <c r="D23" s="450"/>
      <c r="E23" s="450"/>
      <c r="F23" s="450"/>
      <c r="G23" s="450"/>
      <c r="H23" s="450"/>
      <c r="I23" s="450"/>
      <c r="J23" s="451"/>
    </row>
    <row r="24" spans="2:10" ht="16.5" customHeight="1">
      <c r="B24" s="449"/>
      <c r="C24" s="450"/>
      <c r="D24" s="450"/>
      <c r="E24" s="450"/>
      <c r="F24" s="450"/>
      <c r="G24" s="450"/>
      <c r="H24" s="450"/>
      <c r="I24" s="450"/>
      <c r="J24" s="451"/>
    </row>
    <row r="25" spans="2:10" ht="12.75">
      <c r="B25" s="449"/>
      <c r="C25" s="450"/>
      <c r="D25" s="450"/>
      <c r="E25" s="450"/>
      <c r="F25" s="450"/>
      <c r="G25" s="450"/>
      <c r="H25" s="450"/>
      <c r="I25" s="450"/>
      <c r="J25" s="451"/>
    </row>
    <row r="26" spans="2:10" ht="12.75">
      <c r="B26" s="449"/>
      <c r="C26" s="450"/>
      <c r="D26" s="450"/>
      <c r="E26" s="450"/>
      <c r="F26" s="450"/>
      <c r="G26" s="450"/>
      <c r="H26" s="450"/>
      <c r="I26" s="450"/>
      <c r="J26" s="451"/>
    </row>
    <row r="27" spans="2:10" ht="12.75">
      <c r="B27" s="449"/>
      <c r="C27" s="450"/>
      <c r="D27" s="450"/>
      <c r="E27" s="450"/>
      <c r="F27" s="450"/>
      <c r="G27" s="450"/>
      <c r="H27" s="450"/>
      <c r="I27" s="450"/>
      <c r="J27" s="451"/>
    </row>
    <row r="28" spans="2:10" ht="12.75">
      <c r="B28" s="449"/>
      <c r="C28" s="450"/>
      <c r="D28" s="450"/>
      <c r="E28" s="450"/>
      <c r="F28" s="450"/>
      <c r="G28" s="450"/>
      <c r="H28" s="450"/>
      <c r="I28" s="450"/>
      <c r="J28" s="451"/>
    </row>
    <row r="29" spans="2:10" ht="12.75">
      <c r="B29" s="449"/>
      <c r="C29" s="450"/>
      <c r="D29" s="450"/>
      <c r="E29" s="450"/>
      <c r="F29" s="450"/>
      <c r="G29" s="450"/>
      <c r="H29" s="450"/>
      <c r="I29" s="450"/>
      <c r="J29" s="451"/>
    </row>
    <row r="30" spans="2:10" ht="12.75">
      <c r="B30" s="449"/>
      <c r="C30" s="450"/>
      <c r="D30" s="450"/>
      <c r="E30" s="450"/>
      <c r="F30" s="450"/>
      <c r="G30" s="450"/>
      <c r="H30" s="450"/>
      <c r="I30" s="450"/>
      <c r="J30" s="451"/>
    </row>
    <row r="31" spans="2:10" ht="12.75">
      <c r="B31" s="449"/>
      <c r="C31" s="450"/>
      <c r="D31" s="450"/>
      <c r="E31" s="450"/>
      <c r="F31" s="450"/>
      <c r="G31" s="450"/>
      <c r="H31" s="450"/>
      <c r="I31" s="450"/>
      <c r="J31" s="451"/>
    </row>
    <row r="32" spans="2:10" ht="12.75">
      <c r="B32" s="449"/>
      <c r="C32" s="450"/>
      <c r="D32" s="450"/>
      <c r="E32" s="450"/>
      <c r="F32" s="450"/>
      <c r="G32" s="450"/>
      <c r="H32" s="450"/>
      <c r="I32" s="450"/>
      <c r="J32" s="451"/>
    </row>
    <row r="33" spans="2:10" ht="12.75">
      <c r="B33" s="449"/>
      <c r="C33" s="450"/>
      <c r="D33" s="450"/>
      <c r="E33" s="450"/>
      <c r="F33" s="450"/>
      <c r="G33" s="450"/>
      <c r="H33" s="450"/>
      <c r="I33" s="450"/>
      <c r="J33" s="451"/>
    </row>
    <row r="34" spans="2:10" ht="12.75">
      <c r="B34" s="449"/>
      <c r="C34" s="450"/>
      <c r="D34" s="450"/>
      <c r="E34" s="450"/>
      <c r="F34" s="450"/>
      <c r="G34" s="450"/>
      <c r="H34" s="450"/>
      <c r="I34" s="450"/>
      <c r="J34" s="451"/>
    </row>
    <row r="35" spans="2:10" ht="12.75">
      <c r="B35" s="449"/>
      <c r="C35" s="450"/>
      <c r="D35" s="450"/>
      <c r="E35" s="450"/>
      <c r="F35" s="450"/>
      <c r="G35" s="450"/>
      <c r="H35" s="450"/>
      <c r="I35" s="450"/>
      <c r="J35" s="451"/>
    </row>
    <row r="36" spans="2:10" ht="12.75">
      <c r="B36" s="449"/>
      <c r="C36" s="450"/>
      <c r="D36" s="450"/>
      <c r="E36" s="450"/>
      <c r="F36" s="450"/>
      <c r="G36" s="450"/>
      <c r="H36" s="450"/>
      <c r="I36" s="450"/>
      <c r="J36" s="451"/>
    </row>
    <row r="37" spans="2:10" ht="12.75">
      <c r="B37" s="449"/>
      <c r="C37" s="450"/>
      <c r="D37" s="450"/>
      <c r="E37" s="450"/>
      <c r="F37" s="450"/>
      <c r="G37" s="450"/>
      <c r="H37" s="450"/>
      <c r="I37" s="450"/>
      <c r="J37" s="451"/>
    </row>
    <row r="38" spans="2:10" ht="12.75">
      <c r="B38" s="449"/>
      <c r="C38" s="450"/>
      <c r="D38" s="450"/>
      <c r="E38" s="450"/>
      <c r="F38" s="450"/>
      <c r="G38" s="450"/>
      <c r="H38" s="450"/>
      <c r="I38" s="450"/>
      <c r="J38" s="451"/>
    </row>
    <row r="39" spans="2:10" ht="12.75">
      <c r="B39" s="449"/>
      <c r="C39" s="450"/>
      <c r="D39" s="450"/>
      <c r="E39" s="450"/>
      <c r="F39" s="450"/>
      <c r="G39" s="450"/>
      <c r="H39" s="450"/>
      <c r="I39" s="450"/>
      <c r="J39" s="451"/>
    </row>
    <row r="40" spans="2:10" ht="12.75">
      <c r="B40" s="449"/>
      <c r="C40" s="450"/>
      <c r="D40" s="450"/>
      <c r="E40" s="450"/>
      <c r="F40" s="450"/>
      <c r="G40" s="450"/>
      <c r="H40" s="450"/>
      <c r="I40" s="450"/>
      <c r="J40" s="451"/>
    </row>
    <row r="41" spans="2:10" ht="12.75">
      <c r="B41" s="449"/>
      <c r="C41" s="450"/>
      <c r="D41" s="450"/>
      <c r="E41" s="450"/>
      <c r="F41" s="450"/>
      <c r="G41" s="450"/>
      <c r="H41" s="450"/>
      <c r="I41" s="450"/>
      <c r="J41" s="451"/>
    </row>
    <row r="42" spans="2:10" ht="12.75">
      <c r="B42" s="449"/>
      <c r="C42" s="450"/>
      <c r="D42" s="450"/>
      <c r="E42" s="450"/>
      <c r="F42" s="450"/>
      <c r="G42" s="450"/>
      <c r="H42" s="450"/>
      <c r="I42" s="450"/>
      <c r="J42" s="451"/>
    </row>
    <row r="43" spans="2:10" ht="12.75">
      <c r="B43" s="449"/>
      <c r="C43" s="450"/>
      <c r="D43" s="450"/>
      <c r="E43" s="450"/>
      <c r="F43" s="450"/>
      <c r="G43" s="450"/>
      <c r="H43" s="450"/>
      <c r="I43" s="450"/>
      <c r="J43" s="451"/>
    </row>
    <row r="44" spans="2:10" ht="12.75">
      <c r="B44" s="449"/>
      <c r="C44" s="450"/>
      <c r="D44" s="450"/>
      <c r="E44" s="450"/>
      <c r="F44" s="450"/>
      <c r="G44" s="450"/>
      <c r="H44" s="450"/>
      <c r="I44" s="450"/>
      <c r="J44" s="451"/>
    </row>
    <row r="45" spans="2:10" ht="12.75">
      <c r="B45" s="449"/>
      <c r="C45" s="450"/>
      <c r="D45" s="450"/>
      <c r="E45" s="450"/>
      <c r="F45" s="450"/>
      <c r="G45" s="450"/>
      <c r="H45" s="450"/>
      <c r="I45" s="450"/>
      <c r="J45" s="451"/>
    </row>
    <row r="46" spans="2:10" ht="12.75">
      <c r="B46" s="449"/>
      <c r="C46" s="450"/>
      <c r="D46" s="450"/>
      <c r="E46" s="450"/>
      <c r="F46" s="450"/>
      <c r="G46" s="450"/>
      <c r="H46" s="450"/>
      <c r="I46" s="450"/>
      <c r="J46" s="451"/>
    </row>
    <row r="47" spans="2:10" ht="12.75">
      <c r="B47" s="449"/>
      <c r="C47" s="450"/>
      <c r="D47" s="450"/>
      <c r="E47" s="450"/>
      <c r="F47" s="450"/>
      <c r="G47" s="450"/>
      <c r="H47" s="450"/>
      <c r="I47" s="450"/>
      <c r="J47" s="451"/>
    </row>
    <row r="48" spans="2:10" ht="12.75">
      <c r="B48" s="449"/>
      <c r="C48" s="450"/>
      <c r="D48" s="450"/>
      <c r="E48" s="450"/>
      <c r="F48" s="450"/>
      <c r="G48" s="450"/>
      <c r="H48" s="450"/>
      <c r="I48" s="450"/>
      <c r="J48" s="451"/>
    </row>
    <row r="49" spans="2:10" ht="12.75">
      <c r="B49" s="452"/>
      <c r="C49" s="453"/>
      <c r="D49" s="453"/>
      <c r="E49" s="453"/>
      <c r="F49" s="453"/>
      <c r="G49" s="453"/>
      <c r="H49" s="453"/>
      <c r="I49" s="453"/>
      <c r="J49" s="454"/>
    </row>
    <row r="50" spans="2:11" ht="16.5">
      <c r="B50" s="14"/>
      <c r="K50" s="127" t="s">
        <v>273</v>
      </c>
    </row>
    <row r="51" ht="16.5" hidden="1">
      <c r="B51" s="15"/>
    </row>
  </sheetData>
  <sheetProtection password="C02B" sheet="1" objects="1" scenarios="1"/>
  <mergeCells count="3">
    <mergeCell ref="B2:J2"/>
    <mergeCell ref="B18:J18"/>
    <mergeCell ref="B19:J49"/>
  </mergeCells>
  <hyperlinks>
    <hyperlink ref="K50" location="Início!a15" display="Início!a15"/>
  </hyperlink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5"/>
  <dimension ref="A1:F41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7" customWidth="1"/>
    <col min="2" max="2" width="10.00390625" style="7" bestFit="1" customWidth="1"/>
    <col min="3" max="3" width="17.421875" style="7" bestFit="1" customWidth="1"/>
    <col min="4" max="4" width="15.140625" style="7" bestFit="1" customWidth="1"/>
    <col min="5" max="5" width="7.140625" style="7" bestFit="1" customWidth="1"/>
    <col min="6" max="16384" width="10.28125" style="7" customWidth="1"/>
  </cols>
  <sheetData>
    <row r="1" spans="1:6" ht="22.5">
      <c r="A1" s="65" t="s">
        <v>207</v>
      </c>
      <c r="B1" s="65"/>
      <c r="C1" s="65"/>
      <c r="D1" s="65"/>
      <c r="E1" s="65"/>
      <c r="F1" s="12"/>
    </row>
    <row r="2" spans="1:6" ht="16.5">
      <c r="A2" s="12"/>
      <c r="B2" s="12"/>
      <c r="C2" s="12"/>
      <c r="D2" s="12"/>
      <c r="E2" s="12"/>
      <c r="F2" s="12"/>
    </row>
    <row r="3" spans="1:6" ht="16.5">
      <c r="A3" s="12"/>
      <c r="B3" s="12"/>
      <c r="C3" s="12"/>
      <c r="D3" s="12"/>
      <c r="E3" s="12"/>
      <c r="F3" s="12"/>
    </row>
    <row r="4" spans="1:6" ht="16.5">
      <c r="A4" s="12"/>
      <c r="B4" s="12"/>
      <c r="C4" s="12"/>
      <c r="D4" s="12"/>
      <c r="E4" s="12"/>
      <c r="F4" s="12"/>
    </row>
    <row r="5" spans="1:6" ht="16.5">
      <c r="A5" s="12"/>
      <c r="B5" s="12"/>
      <c r="C5" s="12"/>
      <c r="D5" s="12"/>
      <c r="E5" s="12"/>
      <c r="F5" s="12"/>
    </row>
    <row r="6" spans="1:6" ht="17.25" thickBot="1">
      <c r="A6" s="12"/>
      <c r="B6" s="12"/>
      <c r="C6" s="12"/>
      <c r="D6" s="12"/>
      <c r="E6" s="12"/>
      <c r="F6" s="12"/>
    </row>
    <row r="7" spans="1:6" ht="18.75" thickBot="1">
      <c r="A7" s="71" t="s">
        <v>208</v>
      </c>
      <c r="B7" s="72"/>
      <c r="C7" s="72"/>
      <c r="D7" s="72"/>
      <c r="E7" s="73"/>
      <c r="F7" s="12"/>
    </row>
    <row r="8" spans="1:6" ht="18.75" thickBot="1">
      <c r="A8" s="80" t="s">
        <v>209</v>
      </c>
      <c r="B8" s="87" t="s">
        <v>210</v>
      </c>
      <c r="C8" s="87" t="s">
        <v>180</v>
      </c>
      <c r="D8" s="87" t="s">
        <v>211</v>
      </c>
      <c r="E8" s="88" t="s">
        <v>212</v>
      </c>
      <c r="F8" s="12"/>
    </row>
    <row r="9" spans="1:6" ht="16.5">
      <c r="A9" s="86">
        <f>'Previsão de Vendas e Custos'!D23</f>
        <v>0</v>
      </c>
      <c r="B9" s="74">
        <f>'Previsão de Vendas e Custos'!D23</f>
        <v>0</v>
      </c>
      <c r="C9" s="75">
        <f>'Previsão de Vendas e Custos'!F23</f>
        <v>0</v>
      </c>
      <c r="D9" s="75">
        <f aca="true" t="shared" si="0" ref="D9:D20">(B9*C9)</f>
        <v>0</v>
      </c>
      <c r="E9" s="76">
        <f>'Previsão de Vendas e Custos'!G23</f>
        <v>0</v>
      </c>
      <c r="F9" s="12"/>
    </row>
    <row r="10" spans="1:6" ht="16.5">
      <c r="A10" s="85">
        <f>'Previsão de Vendas e Custos'!C24</f>
        <v>0</v>
      </c>
      <c r="B10" s="77">
        <f>'Previsão de Vendas e Custos'!D24</f>
        <v>0</v>
      </c>
      <c r="C10" s="78">
        <f>'Previsão de Vendas e Custos'!F24</f>
        <v>0</v>
      </c>
      <c r="D10" s="78">
        <f t="shared" si="0"/>
        <v>0</v>
      </c>
      <c r="E10" s="79">
        <f>'Previsão de Vendas e Custos'!G24</f>
        <v>0</v>
      </c>
      <c r="F10" s="12"/>
    </row>
    <row r="11" spans="1:6" ht="16.5">
      <c r="A11" s="85">
        <f>'Previsão de Vendas e Custos'!C25</f>
        <v>0</v>
      </c>
      <c r="B11" s="77">
        <f>'Previsão de Vendas e Custos'!D25</f>
        <v>0</v>
      </c>
      <c r="C11" s="78">
        <f>'Previsão de Vendas e Custos'!F25</f>
        <v>0</v>
      </c>
      <c r="D11" s="78">
        <f t="shared" si="0"/>
        <v>0</v>
      </c>
      <c r="E11" s="79">
        <f>'Previsão de Vendas e Custos'!G25</f>
        <v>0</v>
      </c>
      <c r="F11" s="12"/>
    </row>
    <row r="12" spans="1:6" ht="16.5">
      <c r="A12" s="85">
        <f>'Previsão de Vendas e Custos'!C26</f>
        <v>0</v>
      </c>
      <c r="B12" s="77">
        <f>'Previsão de Vendas e Custos'!D26</f>
        <v>0</v>
      </c>
      <c r="C12" s="78">
        <f>'Previsão de Vendas e Custos'!F26</f>
        <v>0</v>
      </c>
      <c r="D12" s="78">
        <f t="shared" si="0"/>
        <v>0</v>
      </c>
      <c r="E12" s="79">
        <f>'Previsão de Vendas e Custos'!G26</f>
        <v>0</v>
      </c>
      <c r="F12" s="12"/>
    </row>
    <row r="13" spans="1:6" ht="16.5">
      <c r="A13" s="85">
        <f>'Previsão de Vendas e Custos'!C27</f>
        <v>0</v>
      </c>
      <c r="B13" s="77">
        <f>'Previsão de Vendas e Custos'!D27</f>
        <v>0</v>
      </c>
      <c r="C13" s="78">
        <f>'Previsão de Vendas e Custos'!F27</f>
        <v>0</v>
      </c>
      <c r="D13" s="78">
        <f t="shared" si="0"/>
        <v>0</v>
      </c>
      <c r="E13" s="79">
        <f>'Previsão de Vendas e Custos'!G27</f>
        <v>0</v>
      </c>
      <c r="F13" s="12"/>
    </row>
    <row r="14" spans="1:6" ht="16.5">
      <c r="A14" s="85">
        <f>'Previsão de Vendas e Custos'!C28</f>
        <v>0</v>
      </c>
      <c r="B14" s="77">
        <f>'Previsão de Vendas e Custos'!D28</f>
        <v>0</v>
      </c>
      <c r="C14" s="78">
        <f>'Previsão de Vendas e Custos'!F28</f>
        <v>0</v>
      </c>
      <c r="D14" s="78">
        <f t="shared" si="0"/>
        <v>0</v>
      </c>
      <c r="E14" s="79">
        <f>'Previsão de Vendas e Custos'!G28</f>
        <v>0</v>
      </c>
      <c r="F14" s="12"/>
    </row>
    <row r="15" spans="1:6" ht="16.5">
      <c r="A15" s="85">
        <f>'Previsão de Vendas e Custos'!C29</f>
        <v>0</v>
      </c>
      <c r="B15" s="77">
        <f>'Previsão de Vendas e Custos'!D29</f>
        <v>0</v>
      </c>
      <c r="C15" s="78">
        <f>'Previsão de Vendas e Custos'!F29</f>
        <v>0</v>
      </c>
      <c r="D15" s="78">
        <f t="shared" si="0"/>
        <v>0</v>
      </c>
      <c r="E15" s="79">
        <f>'Previsão de Vendas e Custos'!G29</f>
        <v>0</v>
      </c>
      <c r="F15" s="12"/>
    </row>
    <row r="16" spans="1:6" ht="16.5">
      <c r="A16" s="85">
        <f>'Previsão de Vendas e Custos'!C30</f>
        <v>0</v>
      </c>
      <c r="B16" s="77">
        <f>'Previsão de Vendas e Custos'!D30</f>
        <v>0</v>
      </c>
      <c r="C16" s="78">
        <f>'Previsão de Vendas e Custos'!F30</f>
        <v>0</v>
      </c>
      <c r="D16" s="78">
        <f t="shared" si="0"/>
        <v>0</v>
      </c>
      <c r="E16" s="79">
        <f>'Previsão de Vendas e Custos'!G30</f>
        <v>0</v>
      </c>
      <c r="F16" s="12"/>
    </row>
    <row r="17" spans="1:6" ht="16.5">
      <c r="A17" s="85">
        <f>'Previsão de Vendas e Custos'!C31</f>
        <v>0</v>
      </c>
      <c r="B17" s="77">
        <f>'Previsão de Vendas e Custos'!D31</f>
        <v>0</v>
      </c>
      <c r="C17" s="78">
        <f>'Previsão de Vendas e Custos'!F31</f>
        <v>0</v>
      </c>
      <c r="D17" s="78">
        <f t="shared" si="0"/>
        <v>0</v>
      </c>
      <c r="E17" s="79">
        <f>'Previsão de Vendas e Custos'!G31</f>
        <v>0</v>
      </c>
      <c r="F17" s="12"/>
    </row>
    <row r="18" spans="1:6" ht="16.5">
      <c r="A18" s="85">
        <f>'Previsão de Vendas e Custos'!C32</f>
        <v>0</v>
      </c>
      <c r="B18" s="77">
        <f>'Previsão de Vendas e Custos'!D32</f>
        <v>0</v>
      </c>
      <c r="C18" s="78">
        <f>'Previsão de Vendas e Custos'!F32</f>
        <v>0</v>
      </c>
      <c r="D18" s="78">
        <f t="shared" si="0"/>
        <v>0</v>
      </c>
      <c r="E18" s="79">
        <f>'Previsão de Vendas e Custos'!G32</f>
        <v>0</v>
      </c>
      <c r="F18" s="12"/>
    </row>
    <row r="19" spans="1:6" ht="16.5">
      <c r="A19" s="85">
        <f>'Previsão de Vendas e Custos'!C33</f>
        <v>0</v>
      </c>
      <c r="B19" s="77">
        <f>'Previsão de Vendas e Custos'!D33</f>
        <v>0</v>
      </c>
      <c r="C19" s="78">
        <f>'Previsão de Vendas e Custos'!F33</f>
        <v>0</v>
      </c>
      <c r="D19" s="78">
        <f t="shared" si="0"/>
        <v>0</v>
      </c>
      <c r="E19" s="79">
        <f>'Previsão de Vendas e Custos'!G33</f>
        <v>0</v>
      </c>
      <c r="F19" s="12"/>
    </row>
    <row r="20" spans="1:6" ht="16.5">
      <c r="A20" s="85">
        <f>'Previsão de Vendas e Custos'!C34</f>
        <v>0</v>
      </c>
      <c r="B20" s="77">
        <f>'Previsão de Vendas e Custos'!D34</f>
        <v>0</v>
      </c>
      <c r="C20" s="78">
        <f>'Previsão de Vendas e Custos'!F34</f>
        <v>0</v>
      </c>
      <c r="D20" s="78">
        <f t="shared" si="0"/>
        <v>0</v>
      </c>
      <c r="E20" s="79">
        <f>'Previsão de Vendas e Custos'!G34</f>
        <v>0</v>
      </c>
      <c r="F20" s="12"/>
    </row>
    <row r="21" spans="1:6" ht="16.5">
      <c r="A21" s="85">
        <f>'Previsão de Vendas e Custos'!C35</f>
        <v>0</v>
      </c>
      <c r="B21" s="77">
        <f>'Previsão de Vendas e Custos'!D35</f>
        <v>0</v>
      </c>
      <c r="C21" s="78">
        <f>'Previsão de Vendas e Custos'!F35</f>
        <v>0</v>
      </c>
      <c r="D21" s="78">
        <f aca="true" t="shared" si="1" ref="D21:D28">(B21*C21)</f>
        <v>0</v>
      </c>
      <c r="E21" s="79">
        <f>'Previsão de Vendas e Custos'!G35</f>
        <v>0</v>
      </c>
      <c r="F21" s="12"/>
    </row>
    <row r="22" spans="1:6" ht="16.5">
      <c r="A22" s="85">
        <f>'Previsão de Vendas e Custos'!C36</f>
        <v>0</v>
      </c>
      <c r="B22" s="77">
        <f>'Previsão de Vendas e Custos'!D36</f>
        <v>0</v>
      </c>
      <c r="C22" s="78">
        <f>'Previsão de Vendas e Custos'!F36</f>
        <v>0</v>
      </c>
      <c r="D22" s="78">
        <f t="shared" si="1"/>
        <v>0</v>
      </c>
      <c r="E22" s="79">
        <f>'Previsão de Vendas e Custos'!G36</f>
        <v>0</v>
      </c>
      <c r="F22" s="12"/>
    </row>
    <row r="23" spans="1:6" ht="16.5">
      <c r="A23" s="85">
        <f>'Previsão de Vendas e Custos'!C37</f>
        <v>0</v>
      </c>
      <c r="B23" s="77">
        <f>'Previsão de Vendas e Custos'!D37</f>
        <v>0</v>
      </c>
      <c r="C23" s="78">
        <f>'Previsão de Vendas e Custos'!F37</f>
        <v>0</v>
      </c>
      <c r="D23" s="78">
        <f t="shared" si="1"/>
        <v>0</v>
      </c>
      <c r="E23" s="79">
        <f>'Previsão de Vendas e Custos'!G37</f>
        <v>0</v>
      </c>
      <c r="F23" s="12"/>
    </row>
    <row r="24" spans="1:6" ht="16.5">
      <c r="A24" s="85">
        <f>'Previsão de Vendas e Custos'!C38</f>
        <v>0</v>
      </c>
      <c r="B24" s="77">
        <f>'Previsão de Vendas e Custos'!D38</f>
        <v>0</v>
      </c>
      <c r="C24" s="78">
        <f>'Previsão de Vendas e Custos'!F38</f>
        <v>0</v>
      </c>
      <c r="D24" s="78">
        <f t="shared" si="1"/>
        <v>0</v>
      </c>
      <c r="E24" s="79">
        <f>'Previsão de Vendas e Custos'!G38</f>
        <v>0</v>
      </c>
      <c r="F24" s="12"/>
    </row>
    <row r="25" spans="1:6" ht="16.5">
      <c r="A25" s="85">
        <f>'Previsão de Vendas e Custos'!C39</f>
        <v>0</v>
      </c>
      <c r="B25" s="77">
        <f>'Previsão de Vendas e Custos'!D39</f>
        <v>0</v>
      </c>
      <c r="C25" s="78">
        <f>'Previsão de Vendas e Custos'!F39</f>
        <v>0</v>
      </c>
      <c r="D25" s="78">
        <f t="shared" si="1"/>
        <v>0</v>
      </c>
      <c r="E25" s="79">
        <f>'Previsão de Vendas e Custos'!G39</f>
        <v>0</v>
      </c>
      <c r="F25" s="12"/>
    </row>
    <row r="26" spans="1:6" ht="16.5">
      <c r="A26" s="85">
        <f>'Previsão de Vendas e Custos'!C40</f>
        <v>0</v>
      </c>
      <c r="B26" s="77">
        <f>'Previsão de Vendas e Custos'!D40</f>
        <v>0</v>
      </c>
      <c r="C26" s="78">
        <f>'Previsão de Vendas e Custos'!F40</f>
        <v>0</v>
      </c>
      <c r="D26" s="78">
        <f t="shared" si="1"/>
        <v>0</v>
      </c>
      <c r="E26" s="79">
        <f>'Previsão de Vendas e Custos'!G40</f>
        <v>0</v>
      </c>
      <c r="F26" s="12"/>
    </row>
    <row r="27" spans="1:6" ht="16.5">
      <c r="A27" s="85">
        <f>'Previsão de Vendas e Custos'!C41</f>
        <v>0</v>
      </c>
      <c r="B27" s="77">
        <f>'Previsão de Vendas e Custos'!D41</f>
        <v>0</v>
      </c>
      <c r="C27" s="78">
        <f>'Previsão de Vendas e Custos'!F41</f>
        <v>0</v>
      </c>
      <c r="D27" s="78">
        <f t="shared" si="1"/>
        <v>0</v>
      </c>
      <c r="E27" s="79">
        <f>'Previsão de Vendas e Custos'!G41</f>
        <v>0</v>
      </c>
      <c r="F27" s="12"/>
    </row>
    <row r="28" spans="1:6" ht="17.25" thickBot="1">
      <c r="A28" s="85">
        <f>'Previsão de Vendas e Custos'!C42</f>
        <v>0</v>
      </c>
      <c r="B28" s="77">
        <f>'Previsão de Vendas e Custos'!D42</f>
        <v>0</v>
      </c>
      <c r="C28" s="78">
        <f>'Previsão de Vendas e Custos'!F42</f>
        <v>0</v>
      </c>
      <c r="D28" s="78">
        <f t="shared" si="1"/>
        <v>0</v>
      </c>
      <c r="E28" s="79">
        <f>'Previsão de Vendas e Custos'!G42</f>
        <v>0</v>
      </c>
      <c r="F28" s="12"/>
    </row>
    <row r="29" spans="1:6" ht="18.75" thickBot="1">
      <c r="A29" s="80" t="s">
        <v>81</v>
      </c>
      <c r="B29" s="81"/>
      <c r="C29" s="82"/>
      <c r="D29" s="83">
        <f>SUM(D9:D28)</f>
        <v>0</v>
      </c>
      <c r="E29" s="84">
        <f>SUM(E9:E28)</f>
        <v>0</v>
      </c>
      <c r="F29" s="12">
        <f>D29+E29</f>
        <v>0</v>
      </c>
    </row>
    <row r="30" spans="1:6" ht="18">
      <c r="A30" s="66"/>
      <c r="B30" s="67"/>
      <c r="C30" s="66"/>
      <c r="D30" s="66"/>
      <c r="E30" s="66"/>
      <c r="F30" s="9"/>
    </row>
    <row r="31" spans="1:6" ht="18">
      <c r="A31" s="68"/>
      <c r="B31" s="69"/>
      <c r="C31" s="68"/>
      <c r="D31" s="68"/>
      <c r="E31" s="68"/>
      <c r="F31" s="9"/>
    </row>
    <row r="32" spans="1:6" ht="16.5">
      <c r="A32" s="9"/>
      <c r="B32" s="9"/>
      <c r="C32" s="9"/>
      <c r="D32" s="9"/>
      <c r="E32" s="9"/>
      <c r="F32" s="9"/>
    </row>
    <row r="33" spans="1:6" ht="16.5">
      <c r="A33" s="9"/>
      <c r="B33" s="9"/>
      <c r="C33" s="9"/>
      <c r="D33" s="9"/>
      <c r="E33" s="9"/>
      <c r="F33" s="9"/>
    </row>
    <row r="34" spans="1:6" ht="16.5">
      <c r="A34" s="9"/>
      <c r="B34" s="9"/>
      <c r="C34" s="9"/>
      <c r="D34" s="9"/>
      <c r="E34" s="9"/>
      <c r="F34" s="9"/>
    </row>
    <row r="35" spans="1:6" ht="16.5">
      <c r="A35" s="9"/>
      <c r="B35" s="9"/>
      <c r="C35" s="9"/>
      <c r="D35" s="9"/>
      <c r="E35" s="9"/>
      <c r="F35" s="9"/>
    </row>
    <row r="36" spans="1:6" ht="16.5">
      <c r="A36" s="9"/>
      <c r="B36" s="9"/>
      <c r="C36" s="9"/>
      <c r="D36" s="9"/>
      <c r="E36" s="9"/>
      <c r="F36" s="9"/>
    </row>
    <row r="37" spans="1:6" ht="16.5">
      <c r="A37" s="9"/>
      <c r="B37" s="9"/>
      <c r="C37" s="9"/>
      <c r="D37" s="9"/>
      <c r="E37" s="9"/>
      <c r="F37" s="9"/>
    </row>
    <row r="38" spans="1:6" ht="16.5">
      <c r="A38" s="9"/>
      <c r="B38" s="9"/>
      <c r="C38" s="9"/>
      <c r="D38" s="9"/>
      <c r="E38" s="9"/>
      <c r="F38" s="9"/>
    </row>
    <row r="39" spans="1:6" ht="16.5">
      <c r="A39" s="9"/>
      <c r="B39" s="9"/>
      <c r="C39" s="9"/>
      <c r="D39" s="9"/>
      <c r="E39" s="9"/>
      <c r="F39" s="9"/>
    </row>
    <row r="40" spans="1:6" ht="16.5">
      <c r="A40" s="9"/>
      <c r="B40" s="9"/>
      <c r="C40" s="9"/>
      <c r="D40" s="9"/>
      <c r="E40" s="9"/>
      <c r="F40" s="9"/>
    </row>
    <row r="41" spans="1:6" ht="16.5">
      <c r="A41" s="9"/>
      <c r="B41" s="9"/>
      <c r="C41" s="9"/>
      <c r="D41" s="9"/>
      <c r="E41" s="9"/>
      <c r="F41" s="9"/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6"/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83.140625" style="7" bestFit="1" customWidth="1"/>
    <col min="2" max="2" width="10.421875" style="7" bestFit="1" customWidth="1"/>
    <col min="3" max="3" width="16.00390625" style="7" bestFit="1" customWidth="1"/>
    <col min="4" max="4" width="14.8515625" style="7" bestFit="1" customWidth="1"/>
    <col min="5" max="16384" width="10.28125" style="7" customWidth="1"/>
  </cols>
  <sheetData>
    <row r="1" spans="1:5" ht="22.5">
      <c r="A1" s="65" t="s">
        <v>215</v>
      </c>
      <c r="B1" s="65"/>
      <c r="C1" s="65"/>
      <c r="D1" s="65"/>
      <c r="E1" s="12"/>
    </row>
    <row r="2" spans="1:5" ht="16.5">
      <c r="A2" s="9"/>
      <c r="B2" s="9"/>
      <c r="C2" s="9"/>
      <c r="D2" s="9"/>
      <c r="E2" s="9"/>
    </row>
    <row r="3" spans="1:5" ht="17.25" thickBot="1">
      <c r="A3" s="12"/>
      <c r="B3" s="12"/>
      <c r="C3" s="12"/>
      <c r="D3" s="12"/>
      <c r="E3" s="12"/>
    </row>
    <row r="4" spans="1:5" ht="18.75" thickBot="1">
      <c r="A4" s="71" t="s">
        <v>208</v>
      </c>
      <c r="B4" s="72"/>
      <c r="C4" s="72"/>
      <c r="D4" s="72"/>
      <c r="E4" s="12"/>
    </row>
    <row r="5" spans="1:5" ht="18.75" thickBot="1">
      <c r="A5" s="80" t="s">
        <v>209</v>
      </c>
      <c r="B5" s="87" t="s">
        <v>210</v>
      </c>
      <c r="C5" s="87" t="s">
        <v>216</v>
      </c>
      <c r="D5" s="87" t="s">
        <v>187</v>
      </c>
      <c r="E5" s="12"/>
    </row>
    <row r="6" spans="1:5" ht="16.5">
      <c r="A6" s="86">
        <f>'Previsão de Vendas e Custos'!C23</f>
        <v>0</v>
      </c>
      <c r="B6" s="74">
        <f>'Previsão de Vendas e Custos'!D23</f>
        <v>0</v>
      </c>
      <c r="C6" s="75">
        <f>'Previsão de Vendas e Custos'!E23</f>
        <v>0</v>
      </c>
      <c r="D6" s="75">
        <f>(B6*C6)</f>
        <v>0</v>
      </c>
      <c r="E6" s="12"/>
    </row>
    <row r="7" spans="1:5" ht="16.5">
      <c r="A7" s="85">
        <f>'Previsão de Vendas e Custos'!C24</f>
        <v>0</v>
      </c>
      <c r="B7" s="77">
        <f>'Previsão de Vendas e Custos'!D24</f>
        <v>0</v>
      </c>
      <c r="C7" s="78">
        <f>'Previsão de Vendas e Custos'!E24</f>
        <v>0</v>
      </c>
      <c r="D7" s="78">
        <f>(B7*C7)</f>
        <v>0</v>
      </c>
      <c r="E7" s="12"/>
    </row>
    <row r="8" spans="1:5" ht="16.5">
      <c r="A8" s="85">
        <f>'Previsão de Vendas e Custos'!C25</f>
        <v>0</v>
      </c>
      <c r="B8" s="77">
        <f>'Previsão de Vendas e Custos'!D25</f>
        <v>0</v>
      </c>
      <c r="C8" s="78">
        <f>'Previsão de Vendas e Custos'!E25</f>
        <v>0</v>
      </c>
      <c r="D8" s="78">
        <f aca="true" t="shared" si="0" ref="D8:D25">(B8*C8)</f>
        <v>0</v>
      </c>
      <c r="E8" s="12"/>
    </row>
    <row r="9" spans="1:5" ht="16.5">
      <c r="A9" s="85">
        <f>'Previsão de Vendas e Custos'!C26</f>
        <v>0</v>
      </c>
      <c r="B9" s="77">
        <f>'Previsão de Vendas e Custos'!D26</f>
        <v>0</v>
      </c>
      <c r="C9" s="78">
        <f>'Previsão de Vendas e Custos'!E26</f>
        <v>0</v>
      </c>
      <c r="D9" s="78">
        <f t="shared" si="0"/>
        <v>0</v>
      </c>
      <c r="E9" s="12"/>
    </row>
    <row r="10" spans="1:5" ht="16.5">
      <c r="A10" s="85">
        <f>'Previsão de Vendas e Custos'!C27</f>
        <v>0</v>
      </c>
      <c r="B10" s="77">
        <f>'Previsão de Vendas e Custos'!D27</f>
        <v>0</v>
      </c>
      <c r="C10" s="78">
        <f>'Previsão de Vendas e Custos'!E27</f>
        <v>0</v>
      </c>
      <c r="D10" s="78">
        <f t="shared" si="0"/>
        <v>0</v>
      </c>
      <c r="E10" s="12"/>
    </row>
    <row r="11" spans="1:5" ht="16.5">
      <c r="A11" s="85">
        <f>'Previsão de Vendas e Custos'!C28</f>
        <v>0</v>
      </c>
      <c r="B11" s="77">
        <f>'Previsão de Vendas e Custos'!D28</f>
        <v>0</v>
      </c>
      <c r="C11" s="78">
        <f>'Previsão de Vendas e Custos'!E28</f>
        <v>0</v>
      </c>
      <c r="D11" s="78">
        <f t="shared" si="0"/>
        <v>0</v>
      </c>
      <c r="E11" s="12"/>
    </row>
    <row r="12" spans="1:5" ht="16.5">
      <c r="A12" s="85">
        <f>'Previsão de Vendas e Custos'!C29</f>
        <v>0</v>
      </c>
      <c r="B12" s="77">
        <f>'Previsão de Vendas e Custos'!D29</f>
        <v>0</v>
      </c>
      <c r="C12" s="78">
        <f>'Previsão de Vendas e Custos'!E29</f>
        <v>0</v>
      </c>
      <c r="D12" s="78">
        <f t="shared" si="0"/>
        <v>0</v>
      </c>
      <c r="E12" s="12"/>
    </row>
    <row r="13" spans="1:5" ht="16.5">
      <c r="A13" s="85">
        <f>'Previsão de Vendas e Custos'!C30</f>
        <v>0</v>
      </c>
      <c r="B13" s="77">
        <f>'Previsão de Vendas e Custos'!D30</f>
        <v>0</v>
      </c>
      <c r="C13" s="78">
        <f>'Previsão de Vendas e Custos'!E30</f>
        <v>0</v>
      </c>
      <c r="D13" s="78">
        <f t="shared" si="0"/>
        <v>0</v>
      </c>
      <c r="E13" s="12"/>
    </row>
    <row r="14" spans="1:5" ht="16.5">
      <c r="A14" s="85">
        <f>'Previsão de Vendas e Custos'!C31</f>
        <v>0</v>
      </c>
      <c r="B14" s="77">
        <f>'Previsão de Vendas e Custos'!D31</f>
        <v>0</v>
      </c>
      <c r="C14" s="78">
        <f>'Previsão de Vendas e Custos'!E31</f>
        <v>0</v>
      </c>
      <c r="D14" s="78">
        <f t="shared" si="0"/>
        <v>0</v>
      </c>
      <c r="E14" s="12"/>
    </row>
    <row r="15" spans="1:5" ht="16.5">
      <c r="A15" s="85">
        <f>'Previsão de Vendas e Custos'!C32</f>
        <v>0</v>
      </c>
      <c r="B15" s="77">
        <f>'Previsão de Vendas e Custos'!D32</f>
        <v>0</v>
      </c>
      <c r="C15" s="78">
        <f>'Previsão de Vendas e Custos'!E32</f>
        <v>0</v>
      </c>
      <c r="D15" s="78">
        <f t="shared" si="0"/>
        <v>0</v>
      </c>
      <c r="E15" s="12"/>
    </row>
    <row r="16" spans="1:5" ht="16.5">
      <c r="A16" s="85">
        <f>'Previsão de Vendas e Custos'!C33</f>
        <v>0</v>
      </c>
      <c r="B16" s="77">
        <f>'Previsão de Vendas e Custos'!D33</f>
        <v>0</v>
      </c>
      <c r="C16" s="78">
        <f>'Previsão de Vendas e Custos'!E33</f>
        <v>0</v>
      </c>
      <c r="D16" s="78">
        <f t="shared" si="0"/>
        <v>0</v>
      </c>
      <c r="E16" s="12"/>
    </row>
    <row r="17" spans="1:5" ht="16.5">
      <c r="A17" s="85">
        <f>'Previsão de Vendas e Custos'!C34</f>
        <v>0</v>
      </c>
      <c r="B17" s="77">
        <f>'Previsão de Vendas e Custos'!D34</f>
        <v>0</v>
      </c>
      <c r="C17" s="78">
        <f>'Previsão de Vendas e Custos'!E34</f>
        <v>0</v>
      </c>
      <c r="D17" s="78">
        <f t="shared" si="0"/>
        <v>0</v>
      </c>
      <c r="E17" s="12"/>
    </row>
    <row r="18" spans="1:5" ht="16.5">
      <c r="A18" s="85">
        <f>'Previsão de Vendas e Custos'!C35</f>
        <v>0</v>
      </c>
      <c r="B18" s="77">
        <f>'Previsão de Vendas e Custos'!D35</f>
        <v>0</v>
      </c>
      <c r="C18" s="78">
        <f>'Previsão de Vendas e Custos'!E35</f>
        <v>0</v>
      </c>
      <c r="D18" s="78">
        <f t="shared" si="0"/>
        <v>0</v>
      </c>
      <c r="E18" s="12"/>
    </row>
    <row r="19" spans="1:5" ht="16.5">
      <c r="A19" s="85">
        <f>'Previsão de Vendas e Custos'!C36</f>
        <v>0</v>
      </c>
      <c r="B19" s="77">
        <f>'Previsão de Vendas e Custos'!D36</f>
        <v>0</v>
      </c>
      <c r="C19" s="78">
        <f>'Previsão de Vendas e Custos'!E36</f>
        <v>0</v>
      </c>
      <c r="D19" s="78">
        <f t="shared" si="0"/>
        <v>0</v>
      </c>
      <c r="E19" s="12"/>
    </row>
    <row r="20" spans="1:5" ht="16.5">
      <c r="A20" s="85">
        <f>'Previsão de Vendas e Custos'!C37</f>
        <v>0</v>
      </c>
      <c r="B20" s="77">
        <f>'Previsão de Vendas e Custos'!D37</f>
        <v>0</v>
      </c>
      <c r="C20" s="78">
        <f>'Previsão de Vendas e Custos'!E37</f>
        <v>0</v>
      </c>
      <c r="D20" s="78">
        <f t="shared" si="0"/>
        <v>0</v>
      </c>
      <c r="E20" s="12"/>
    </row>
    <row r="21" spans="1:5" ht="16.5">
      <c r="A21" s="85">
        <f>'Previsão de Vendas e Custos'!C38</f>
        <v>0</v>
      </c>
      <c r="B21" s="77">
        <f>'Previsão de Vendas e Custos'!D38</f>
        <v>0</v>
      </c>
      <c r="C21" s="78">
        <f>'Previsão de Vendas e Custos'!E38</f>
        <v>0</v>
      </c>
      <c r="D21" s="78">
        <f t="shared" si="0"/>
        <v>0</v>
      </c>
      <c r="E21" s="12"/>
    </row>
    <row r="22" spans="1:5" ht="16.5">
      <c r="A22" s="85">
        <f>'Previsão de Vendas e Custos'!C39</f>
        <v>0</v>
      </c>
      <c r="B22" s="77">
        <f>'Previsão de Vendas e Custos'!D39</f>
        <v>0</v>
      </c>
      <c r="C22" s="78">
        <f>'Previsão de Vendas e Custos'!E39</f>
        <v>0</v>
      </c>
      <c r="D22" s="78">
        <f t="shared" si="0"/>
        <v>0</v>
      </c>
      <c r="E22" s="12"/>
    </row>
    <row r="23" spans="1:5" ht="16.5">
      <c r="A23" s="85">
        <f>'Previsão de Vendas e Custos'!C40</f>
        <v>0</v>
      </c>
      <c r="B23" s="77">
        <f>'Previsão de Vendas e Custos'!D40</f>
        <v>0</v>
      </c>
      <c r="C23" s="78">
        <f>'Previsão de Vendas e Custos'!E40</f>
        <v>0</v>
      </c>
      <c r="D23" s="78">
        <f t="shared" si="0"/>
        <v>0</v>
      </c>
      <c r="E23" s="12"/>
    </row>
    <row r="24" spans="1:5" ht="16.5">
      <c r="A24" s="85">
        <f>'Previsão de Vendas e Custos'!C41</f>
        <v>0</v>
      </c>
      <c r="B24" s="77">
        <f>'Previsão de Vendas e Custos'!D41</f>
        <v>0</v>
      </c>
      <c r="C24" s="78">
        <f>'Previsão de Vendas e Custos'!E41</f>
        <v>0</v>
      </c>
      <c r="D24" s="78">
        <f t="shared" si="0"/>
        <v>0</v>
      </c>
      <c r="E24" s="12"/>
    </row>
    <row r="25" spans="1:5" ht="17.25" thickBot="1">
      <c r="A25" s="85">
        <f>'Previsão de Vendas e Custos'!C42</f>
        <v>0</v>
      </c>
      <c r="B25" s="77">
        <f>'Previsão de Vendas e Custos'!D42</f>
        <v>0</v>
      </c>
      <c r="C25" s="78">
        <f>'Previsão de Vendas e Custos'!E42</f>
        <v>0</v>
      </c>
      <c r="D25" s="78">
        <f t="shared" si="0"/>
        <v>0</v>
      </c>
      <c r="E25" s="12"/>
    </row>
    <row r="26" spans="1:5" ht="18.75" thickBot="1">
      <c r="A26" s="80" t="s">
        <v>81</v>
      </c>
      <c r="B26" s="81"/>
      <c r="C26" s="82"/>
      <c r="D26" s="83">
        <f>SUM(D6:D25)</f>
        <v>0</v>
      </c>
      <c r="E26" s="12"/>
    </row>
    <row r="27" spans="1:5" ht="18">
      <c r="A27" s="66"/>
      <c r="B27" s="67"/>
      <c r="C27" s="66"/>
      <c r="D27" s="66"/>
      <c r="E27" s="9"/>
    </row>
    <row r="28" spans="1:5" ht="21" customHeight="1">
      <c r="A28" s="68"/>
      <c r="B28" s="69"/>
      <c r="C28" s="68"/>
      <c r="D28" s="68"/>
      <c r="E28" s="9"/>
    </row>
    <row r="29" spans="1:5" ht="16.5">
      <c r="A29" s="70" t="s">
        <v>213</v>
      </c>
      <c r="B29" s="9"/>
      <c r="C29" s="9"/>
      <c r="D29" s="9"/>
      <c r="E29" s="9"/>
    </row>
    <row r="30" spans="1:5" ht="16.5">
      <c r="A30" s="70" t="s">
        <v>214</v>
      </c>
      <c r="B30" s="9"/>
      <c r="C30" s="9"/>
      <c r="D30" s="9"/>
      <c r="E30" s="9"/>
    </row>
    <row r="31" spans="1:5" ht="16.5">
      <c r="A31" s="9"/>
      <c r="B31" s="9"/>
      <c r="C31" s="9"/>
      <c r="D31" s="9"/>
      <c r="E31" s="9"/>
    </row>
    <row r="32" spans="1:5" ht="16.5">
      <c r="A32" s="9"/>
      <c r="B32" s="9"/>
      <c r="C32" s="9"/>
      <c r="D32" s="9"/>
      <c r="E32" s="9"/>
    </row>
    <row r="33" spans="1:5" ht="16.5">
      <c r="A33" s="9"/>
      <c r="B33" s="9"/>
      <c r="C33" s="9"/>
      <c r="D33" s="9"/>
      <c r="E33" s="9"/>
    </row>
    <row r="34" spans="1:5" ht="16.5">
      <c r="A34" s="9"/>
      <c r="B34" s="9"/>
      <c r="C34" s="9"/>
      <c r="D34" s="9"/>
      <c r="E34" s="9"/>
    </row>
    <row r="35" spans="1:5" ht="16.5">
      <c r="A35" s="9"/>
      <c r="B35" s="9"/>
      <c r="C35" s="9"/>
      <c r="D35" s="9"/>
      <c r="E35" s="9"/>
    </row>
    <row r="36" spans="1:5" ht="16.5">
      <c r="A36" s="9"/>
      <c r="B36" s="9"/>
      <c r="C36" s="9"/>
      <c r="D36" s="9"/>
      <c r="E36" s="9"/>
    </row>
    <row r="37" spans="1:5" ht="16.5">
      <c r="A37" s="9"/>
      <c r="B37" s="9"/>
      <c r="C37" s="9"/>
      <c r="D37" s="9"/>
      <c r="E37" s="9"/>
    </row>
    <row r="38" spans="1:5" ht="16.5">
      <c r="A38" s="9"/>
      <c r="B38" s="9"/>
      <c r="C38" s="9"/>
      <c r="D38" s="9"/>
      <c r="E38" s="9"/>
    </row>
  </sheetData>
  <printOptions/>
  <pageMargins left="0.75" right="0.75" top="1" bottom="1" header="0.492125985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Sebrae ParanÃ Sebrae ParanÃ¡ - O ServiÃ§o de Apoio Ã  Pequena Empresa no ParanÃ¡</dc:title>
  <dc:subject/>
  <dc:creator>SEBRAE</dc:creator>
  <cp:keywords/>
  <dc:description/>
  <cp:lastModifiedBy>Valter</cp:lastModifiedBy>
  <cp:lastPrinted>2003-04-11T12:26:03Z</cp:lastPrinted>
  <dcterms:created xsi:type="dcterms:W3CDTF">2000-11-28T16:14:00Z</dcterms:created>
  <dcterms:modified xsi:type="dcterms:W3CDTF">2009-08-02T20:39:28Z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